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8.xml" ContentType="application/vnd.openxmlformats-officedocument.drawing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60" windowWidth="12120" windowHeight="9120" tabRatio="731" firstSheet="1" activeTab="1"/>
  </bookViews>
  <sheets>
    <sheet name="~#temp" sheetId="1" state="hidden" r:id="rId1"/>
    <sheet name="Beam Typ" sheetId="2" r:id="rId2"/>
    <sheet name="Column Typ" sheetId="3" r:id="rId3"/>
    <sheet name="Column" sheetId="4" r:id="rId4"/>
    <sheet name="Slab Typ" sheetId="5" r:id="rId5"/>
    <sheet name="Slab" sheetId="6" r:id="rId6"/>
    <sheet name="Grid" sheetId="7" r:id="rId7"/>
    <sheet name="Stair" sheetId="8" r:id="rId8"/>
    <sheet name="Seismic " sheetId="9" r:id="rId9"/>
    <sheet name="C F" sheetId="10" r:id="rId10"/>
    <sheet name="Iso F" sheetId="11" r:id="rId11"/>
    <sheet name="Dome" sheetId="12" r:id="rId12"/>
    <sheet name="3H Arch" sheetId="13" r:id="rId13"/>
    <sheet name="Cir Beam" sheetId="14" r:id="rId14"/>
    <sheet name="Slender Col" sheetId="15" r:id="rId15"/>
    <sheet name="Bi Axial Col" sheetId="16" r:id="rId16"/>
    <sheet name="Defl" sheetId="17" r:id="rId17"/>
    <sheet name="Stair Sum" sheetId="18" r:id="rId18"/>
    <sheet name="RW" sheetId="19" r:id="rId19"/>
    <sheet name="L RW" sheetId="20" r:id="rId20"/>
    <sheet name="Rev L RW" sheetId="21" r:id="rId21"/>
    <sheet name="WT" sheetId="22" r:id="rId22"/>
  </sheets>
  <definedNames>
    <definedName name="__xlnm.Print_Titles_3">"column!$10":11</definedName>
    <definedName name="_xlnm.Print_Area" localSheetId="1">'Beam Typ'!$B$2:$H$68,'Beam Typ'!$J$12:$R$64</definedName>
    <definedName name="_xlnm.Print_Area" localSheetId="15">'Bi Axial Col'!$A$1:$F$46</definedName>
    <definedName name="_xlnm.Print_Area" localSheetId="9">'C F'!$B$1:$H$189</definedName>
    <definedName name="_xlnm.Print_Area" localSheetId="13">'Cir Beam'!$A$1:$H$46</definedName>
    <definedName name="_xlnm.Print_Area" localSheetId="2">'Column Typ'!$B$2:$P$39</definedName>
    <definedName name="_xlnm.Print_Area" localSheetId="11">'Dome'!$A$1:$H$70</definedName>
    <definedName name="_xlnm.Print_Area" localSheetId="6">'Grid'!$B$99:$K$182</definedName>
    <definedName name="_xlnm.Print_Area" localSheetId="10">'Iso F'!$B$3:$H$129</definedName>
    <definedName name="_xlnm.Print_Area" localSheetId="19">'L RW'!$B$2:$K$151</definedName>
    <definedName name="_xlnm.Print_Area" localSheetId="20">'Rev L RW'!$B$2:$K$166</definedName>
    <definedName name="_xlnm.Print_Area" localSheetId="18">'RW'!$B$3:$K$101</definedName>
    <definedName name="_xlnm.Print_Area" localSheetId="5">'Slab'!$B$4:$Z$33</definedName>
    <definedName name="_xlnm.Print_Area" localSheetId="4">'Slab Typ'!$B$2:$K$48,'Slab Typ'!$M$8:$X$39</definedName>
    <definedName name="_xlnm.Print_Area" localSheetId="14">'Slender Col'!$A$3:$H$88</definedName>
    <definedName name="_xlnm.Print_Area" localSheetId="7">'Stair'!$B$2:$H$53</definedName>
    <definedName name="_xlnm.Print_Area" localSheetId="17">'Stair Sum'!$A$1:$Q$16</definedName>
    <definedName name="_xlnm.Print_Titles" localSheetId="3">'Column'!$4:$5</definedName>
  </definedNames>
  <calcPr fullCalcOnLoad="1"/>
</workbook>
</file>

<file path=xl/comments10.xml><?xml version="1.0" encoding="utf-8"?>
<comments xmlns="http://schemas.openxmlformats.org/spreadsheetml/2006/main">
  <authors>
    <author>FAHIM</author>
  </authors>
  <commentList>
    <comment ref="L112" authorId="0">
      <text>
        <r>
          <rPr>
            <b/>
            <sz val="8"/>
            <rFont val="Tahoma"/>
            <family val="2"/>
          </rPr>
          <t>Ast=(p*b*d)/100</t>
        </r>
        <r>
          <rPr>
            <sz val="8"/>
            <rFont val="Tahoma"/>
            <family val="2"/>
          </rPr>
          <t xml:space="preserve">
</t>
        </r>
      </text>
    </comment>
    <comment ref="E110" authorId="0">
      <text>
        <r>
          <rPr>
            <b/>
            <sz val="8"/>
            <rFont val="Tahoma"/>
            <family val="2"/>
          </rPr>
          <t xml:space="preserve">d'= clear cover                    + stirrup dia + </t>
        </r>
        <r>
          <rPr>
            <b/>
            <sz val="12"/>
            <rFont val="Arial"/>
            <family val="2"/>
          </rPr>
          <t>ø</t>
        </r>
        <r>
          <rPr>
            <b/>
            <sz val="10"/>
            <rFont val="Arial"/>
            <family val="2"/>
          </rPr>
          <t>/</t>
        </r>
        <r>
          <rPr>
            <b/>
            <sz val="8"/>
            <rFont val="Arial"/>
            <family val="2"/>
          </rPr>
          <t>2</t>
        </r>
      </text>
    </comment>
    <comment ref="L119" authorId="0">
      <text>
        <r>
          <rPr>
            <b/>
            <sz val="8"/>
            <rFont val="Tahoma"/>
            <family val="2"/>
          </rPr>
          <t>Astmin=(0.85bd)/fy</t>
        </r>
        <r>
          <rPr>
            <sz val="8"/>
            <rFont val="Tahoma"/>
            <family val="2"/>
          </rPr>
          <t xml:space="preserve">
</t>
        </r>
      </text>
    </comment>
    <comment ref="L120" authorId="0">
      <text>
        <r>
          <rPr>
            <b/>
            <sz val="8"/>
            <rFont val="Tahoma"/>
            <family val="2"/>
          </rPr>
          <t>Astmax=0.04bd</t>
        </r>
        <r>
          <rPr>
            <sz val="8"/>
            <rFont val="Tahoma"/>
            <family val="2"/>
          </rPr>
          <t xml:space="preserve">
</t>
        </r>
      </text>
    </comment>
    <comment ref="E126" authorId="0">
      <text>
        <r>
          <rPr>
            <b/>
            <sz val="8"/>
            <rFont val="Arial"/>
            <family val="2"/>
          </rPr>
          <t>ζ</t>
        </r>
        <r>
          <rPr>
            <b/>
            <sz val="8"/>
            <rFont val="Tahoma"/>
            <family val="2"/>
          </rPr>
          <t>v=Shear Force/(bd)</t>
        </r>
        <r>
          <rPr>
            <sz val="8"/>
            <rFont val="Tahoma"/>
            <family val="2"/>
          </rPr>
          <t xml:space="preserve">
</t>
        </r>
      </text>
    </comment>
    <comment ref="E128" authorId="0">
      <text>
        <r>
          <rPr>
            <b/>
            <sz val="8"/>
            <rFont val="Tahoma"/>
            <family val="2"/>
          </rPr>
          <t>refer Table 61 SP 16 pg 178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FAHIM</author>
  </authors>
  <commentList>
    <comment ref="E47" authorId="0">
      <text>
        <r>
          <rPr>
            <b/>
            <sz val="8"/>
            <rFont val="Tahoma"/>
            <family val="2"/>
          </rPr>
          <t xml:space="preserve">d'= clear cover                    + stirrup dia + </t>
        </r>
        <r>
          <rPr>
            <b/>
            <sz val="12"/>
            <rFont val="Arial"/>
            <family val="2"/>
          </rPr>
          <t>ø</t>
        </r>
        <r>
          <rPr>
            <b/>
            <sz val="10"/>
            <rFont val="Arial"/>
            <family val="2"/>
          </rPr>
          <t>/</t>
        </r>
        <r>
          <rPr>
            <b/>
            <sz val="8"/>
            <rFont val="Arial"/>
            <family val="2"/>
          </rPr>
          <t>2</t>
        </r>
      </text>
    </comment>
    <comment ref="K46" authorId="0">
      <text>
        <r>
          <rPr>
            <b/>
            <sz val="8"/>
            <rFont val="Tahoma"/>
            <family val="2"/>
          </rPr>
          <t>Ast=(p*b*d)/100</t>
        </r>
        <r>
          <rPr>
            <sz val="8"/>
            <rFont val="Tahoma"/>
            <family val="2"/>
          </rPr>
          <t xml:space="preserve">
</t>
        </r>
      </text>
    </comment>
    <comment ref="K53" authorId="0">
      <text>
        <r>
          <rPr>
            <b/>
            <sz val="8"/>
            <rFont val="Tahoma"/>
            <family val="2"/>
          </rPr>
          <t>Astmin=(0.85bd)/fy</t>
        </r>
        <r>
          <rPr>
            <sz val="8"/>
            <rFont val="Tahoma"/>
            <family val="2"/>
          </rPr>
          <t xml:space="preserve">
</t>
        </r>
      </text>
    </comment>
    <comment ref="K54" authorId="0">
      <text>
        <r>
          <rPr>
            <b/>
            <sz val="8"/>
            <rFont val="Tahoma"/>
            <family val="2"/>
          </rPr>
          <t>Astmax=0.04bd</t>
        </r>
        <r>
          <rPr>
            <sz val="8"/>
            <rFont val="Tahoma"/>
            <family val="2"/>
          </rPr>
          <t xml:space="preserve">
</t>
        </r>
      </text>
    </comment>
    <comment ref="E67" authorId="0">
      <text>
        <r>
          <rPr>
            <b/>
            <sz val="8"/>
            <rFont val="Tahoma"/>
            <family val="2"/>
          </rPr>
          <t>refer Table 61 SP 16 pg 178</t>
        </r>
        <r>
          <rPr>
            <sz val="8"/>
            <rFont val="Tahoma"/>
            <family val="2"/>
          </rPr>
          <t xml:space="preserve">
</t>
        </r>
      </text>
    </comment>
    <comment ref="E65" authorId="0">
      <text>
        <r>
          <rPr>
            <b/>
            <sz val="8"/>
            <rFont val="Arial"/>
            <family val="2"/>
          </rPr>
          <t>ζ</t>
        </r>
        <r>
          <rPr>
            <b/>
            <sz val="8"/>
            <rFont val="Tahoma"/>
            <family val="2"/>
          </rPr>
          <t>v=Shear Force/(bd)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P46" authorId="0">
      <text>
        <r>
          <rPr>
            <b/>
            <sz val="8"/>
            <rFont val="Tahoma"/>
            <family val="2"/>
          </rPr>
          <t>Ast=(p*b*d)/100</t>
        </r>
        <r>
          <rPr>
            <sz val="8"/>
            <rFont val="Tahoma"/>
            <family val="2"/>
          </rPr>
          <t xml:space="preserve">
</t>
        </r>
      </text>
    </comment>
    <comment ref="P53" authorId="0">
      <text>
        <r>
          <rPr>
            <b/>
            <sz val="8"/>
            <rFont val="Tahoma"/>
            <family val="2"/>
          </rPr>
          <t>Astmin=(0.85bd)/fy</t>
        </r>
        <r>
          <rPr>
            <sz val="8"/>
            <rFont val="Tahoma"/>
            <family val="2"/>
          </rPr>
          <t xml:space="preserve">
</t>
        </r>
      </text>
    </comment>
    <comment ref="P54" authorId="0">
      <text>
        <r>
          <rPr>
            <b/>
            <sz val="8"/>
            <rFont val="Tahoma"/>
            <family val="2"/>
          </rPr>
          <t>Astmax=0.04bd</t>
        </r>
        <r>
          <rPr>
            <sz val="8"/>
            <rFont val="Tahoma"/>
            <family val="2"/>
          </rPr>
          <t xml:space="preserve">
</t>
        </r>
      </text>
    </comment>
    <comment ref="E75" authorId="0">
      <text>
        <r>
          <rPr>
            <b/>
            <sz val="8"/>
            <rFont val="Arial"/>
            <family val="2"/>
          </rPr>
          <t>ζ</t>
        </r>
        <r>
          <rPr>
            <b/>
            <sz val="8"/>
            <rFont val="Tahoma"/>
            <family val="2"/>
          </rPr>
          <t>v=Shear Force/(bd)</t>
        </r>
        <r>
          <rPr>
            <sz val="8"/>
            <rFont val="Tahoma"/>
            <family val="2"/>
          </rPr>
          <t xml:space="preserve">
</t>
        </r>
      </text>
    </comment>
    <comment ref="E77" authorId="0">
      <text>
        <r>
          <rPr>
            <b/>
            <sz val="8"/>
            <rFont val="Tahoma"/>
            <family val="2"/>
          </rPr>
          <t>refer Table 61 SP 16 pg 178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FAHIM</author>
  </authors>
  <commentList>
    <comment ref="AD22" authorId="0">
      <text>
        <r>
          <rPr>
            <b/>
            <sz val="8"/>
            <rFont val="Tahoma"/>
            <family val="2"/>
          </rPr>
          <t>((.87435/fck)*(fy*p/100)^2) + (-0.87*(fy*p/100)) + (Mu/b*d^2) = 0</t>
        </r>
        <r>
          <rPr>
            <sz val="8"/>
            <rFont val="Tahoma"/>
            <family val="2"/>
          </rPr>
          <t xml:space="preserve">
 </t>
        </r>
      </text>
    </comment>
    <comment ref="AE22" authorId="0">
      <text>
        <r>
          <rPr>
            <b/>
            <sz val="8"/>
            <rFont val="Tahoma"/>
            <family val="2"/>
          </rPr>
          <t>Ast=(p*b*d)/100</t>
        </r>
        <r>
          <rPr>
            <sz val="8"/>
            <rFont val="Tahoma"/>
            <family val="2"/>
          </rPr>
          <t xml:space="preserve">
</t>
        </r>
      </text>
    </comment>
    <comment ref="AG22" authorId="0">
      <text>
        <r>
          <rPr>
            <b/>
            <sz val="8"/>
            <rFont val="Tahoma"/>
            <family val="2"/>
          </rPr>
          <t>((.87435/fck)*(fy*p/100)^2) + (-0.87*(fy*p/100)) + (Mu/b*d^2) = 0</t>
        </r>
        <r>
          <rPr>
            <sz val="8"/>
            <rFont val="Tahoma"/>
            <family val="2"/>
          </rPr>
          <t xml:space="preserve">
 </t>
        </r>
      </text>
    </comment>
    <comment ref="AH22" authorId="0">
      <text>
        <r>
          <rPr>
            <b/>
            <sz val="8"/>
            <rFont val="Tahoma"/>
            <family val="2"/>
          </rPr>
          <t>Ast=(p*b*d)/100</t>
        </r>
        <r>
          <rPr>
            <sz val="8"/>
            <rFont val="Tahoma"/>
            <family val="2"/>
          </rPr>
          <t xml:space="preserve">
</t>
        </r>
      </text>
    </comment>
    <comment ref="AS22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V22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W22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D23" authorId="0">
      <text>
        <r>
          <rPr>
            <b/>
            <sz val="8"/>
            <rFont val="Tahoma"/>
            <family val="2"/>
          </rPr>
          <t>((.87435/fck)*(fy*p/100)^2) + (-0.87*(fy*p/100)) + (Mu/b*d^2) = 0</t>
        </r>
        <r>
          <rPr>
            <sz val="8"/>
            <rFont val="Tahoma"/>
            <family val="2"/>
          </rPr>
          <t xml:space="preserve">
 </t>
        </r>
      </text>
    </comment>
    <comment ref="AE23" authorId="0">
      <text>
        <r>
          <rPr>
            <b/>
            <sz val="8"/>
            <rFont val="Tahoma"/>
            <family val="2"/>
          </rPr>
          <t>Ast=(p*b*d)/100</t>
        </r>
        <r>
          <rPr>
            <sz val="8"/>
            <rFont val="Tahoma"/>
            <family val="2"/>
          </rPr>
          <t xml:space="preserve">
</t>
        </r>
      </text>
    </comment>
    <comment ref="AG23" authorId="0">
      <text>
        <r>
          <rPr>
            <b/>
            <sz val="8"/>
            <rFont val="Tahoma"/>
            <family val="2"/>
          </rPr>
          <t>((.87435/fck)*(fy*p/100)^2) + (-0.87*(fy*p/100)) + (Mu/b*d^2) = 0</t>
        </r>
        <r>
          <rPr>
            <sz val="8"/>
            <rFont val="Tahoma"/>
            <family val="2"/>
          </rPr>
          <t xml:space="preserve">
 </t>
        </r>
      </text>
    </comment>
    <comment ref="AH23" authorId="0">
      <text>
        <r>
          <rPr>
            <b/>
            <sz val="8"/>
            <rFont val="Tahoma"/>
            <family val="2"/>
          </rPr>
          <t>Ast=(p*b*d)/100</t>
        </r>
        <r>
          <rPr>
            <sz val="8"/>
            <rFont val="Tahoma"/>
            <family val="2"/>
          </rPr>
          <t xml:space="preserve">
</t>
        </r>
      </text>
    </comment>
    <comment ref="AS23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V23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W23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D24" authorId="0">
      <text>
        <r>
          <rPr>
            <b/>
            <sz val="8"/>
            <rFont val="Tahoma"/>
            <family val="2"/>
          </rPr>
          <t>((.87435/fck)*(fy*p/100)^2) + (-0.87*(fy*p/100)) + (Mu/b*d^2) = 0</t>
        </r>
        <r>
          <rPr>
            <sz val="8"/>
            <rFont val="Tahoma"/>
            <family val="2"/>
          </rPr>
          <t xml:space="preserve">
 </t>
        </r>
      </text>
    </comment>
    <comment ref="AE24" authorId="0">
      <text>
        <r>
          <rPr>
            <b/>
            <sz val="8"/>
            <rFont val="Tahoma"/>
            <family val="2"/>
          </rPr>
          <t>Ast=(p*b*d)/100</t>
        </r>
        <r>
          <rPr>
            <sz val="8"/>
            <rFont val="Tahoma"/>
            <family val="2"/>
          </rPr>
          <t xml:space="preserve">
</t>
        </r>
      </text>
    </comment>
    <comment ref="AG24" authorId="0">
      <text>
        <r>
          <rPr>
            <b/>
            <sz val="8"/>
            <rFont val="Tahoma"/>
            <family val="2"/>
          </rPr>
          <t>((.87435/fck)*(fy*p/100)^2) + (-0.87*(fy*p/100)) + (Mu/b*d^2) = 0</t>
        </r>
        <r>
          <rPr>
            <sz val="8"/>
            <rFont val="Tahoma"/>
            <family val="2"/>
          </rPr>
          <t xml:space="preserve">
 </t>
        </r>
      </text>
    </comment>
    <comment ref="AH24" authorId="0">
      <text>
        <r>
          <rPr>
            <b/>
            <sz val="8"/>
            <rFont val="Tahoma"/>
            <family val="2"/>
          </rPr>
          <t>Ast=(p*b*d)/100</t>
        </r>
        <r>
          <rPr>
            <sz val="8"/>
            <rFont val="Tahoma"/>
            <family val="2"/>
          </rPr>
          <t xml:space="preserve">
</t>
        </r>
      </text>
    </comment>
    <comment ref="AS24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V24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W24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D25" authorId="0">
      <text>
        <r>
          <rPr>
            <b/>
            <sz val="8"/>
            <rFont val="Tahoma"/>
            <family val="2"/>
          </rPr>
          <t>((.87435/fck)*(fy*p/100)^2) + (-0.87*(fy*p/100)) + (Mu/b*d^2) = 0</t>
        </r>
        <r>
          <rPr>
            <sz val="8"/>
            <rFont val="Tahoma"/>
            <family val="2"/>
          </rPr>
          <t xml:space="preserve">
 </t>
        </r>
      </text>
    </comment>
    <comment ref="AE25" authorId="0">
      <text>
        <r>
          <rPr>
            <b/>
            <sz val="8"/>
            <rFont val="Tahoma"/>
            <family val="2"/>
          </rPr>
          <t>Ast=(p*b*d)/100</t>
        </r>
        <r>
          <rPr>
            <sz val="8"/>
            <rFont val="Tahoma"/>
            <family val="2"/>
          </rPr>
          <t xml:space="preserve">
</t>
        </r>
      </text>
    </comment>
    <comment ref="AG25" authorId="0">
      <text>
        <r>
          <rPr>
            <b/>
            <sz val="8"/>
            <rFont val="Tahoma"/>
            <family val="2"/>
          </rPr>
          <t>((.87435/fck)*(fy*p/100)^2) + (-0.87*(fy*p/100)) + (Mu/b*d^2) = 0</t>
        </r>
        <r>
          <rPr>
            <sz val="8"/>
            <rFont val="Tahoma"/>
            <family val="2"/>
          </rPr>
          <t xml:space="preserve">
 </t>
        </r>
      </text>
    </comment>
    <comment ref="AH25" authorId="0">
      <text>
        <r>
          <rPr>
            <b/>
            <sz val="8"/>
            <rFont val="Tahoma"/>
            <family val="2"/>
          </rPr>
          <t>Ast=(p*b*d)/100</t>
        </r>
        <r>
          <rPr>
            <sz val="8"/>
            <rFont val="Tahoma"/>
            <family val="2"/>
          </rPr>
          <t xml:space="preserve">
</t>
        </r>
      </text>
    </comment>
    <comment ref="AS25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V25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W25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D26" authorId="0">
      <text>
        <r>
          <rPr>
            <b/>
            <sz val="8"/>
            <rFont val="Tahoma"/>
            <family val="2"/>
          </rPr>
          <t>((.87435/fck)*(fy*p/100)^2) + (-0.87*(fy*p/100)) + (Mu/b*d^2) = 0</t>
        </r>
        <r>
          <rPr>
            <sz val="8"/>
            <rFont val="Tahoma"/>
            <family val="2"/>
          </rPr>
          <t xml:space="preserve">
 </t>
        </r>
      </text>
    </comment>
    <comment ref="AE26" authorId="0">
      <text>
        <r>
          <rPr>
            <b/>
            <sz val="8"/>
            <rFont val="Tahoma"/>
            <family val="2"/>
          </rPr>
          <t>Ast=(p*b*d)/100</t>
        </r>
        <r>
          <rPr>
            <sz val="8"/>
            <rFont val="Tahoma"/>
            <family val="2"/>
          </rPr>
          <t xml:space="preserve">
</t>
        </r>
      </text>
    </comment>
    <comment ref="AG26" authorId="0">
      <text>
        <r>
          <rPr>
            <b/>
            <sz val="8"/>
            <rFont val="Tahoma"/>
            <family val="2"/>
          </rPr>
          <t>((.87435/fck)*(fy*p/100)^2) + (-0.87*(fy*p/100)) + (Mu/b*d^2) = 0</t>
        </r>
        <r>
          <rPr>
            <sz val="8"/>
            <rFont val="Tahoma"/>
            <family val="2"/>
          </rPr>
          <t xml:space="preserve">
 </t>
        </r>
      </text>
    </comment>
    <comment ref="AH26" authorId="0">
      <text>
        <r>
          <rPr>
            <b/>
            <sz val="8"/>
            <rFont val="Tahoma"/>
            <family val="2"/>
          </rPr>
          <t>Ast=(p*b*d)/100</t>
        </r>
        <r>
          <rPr>
            <sz val="8"/>
            <rFont val="Tahoma"/>
            <family val="2"/>
          </rPr>
          <t xml:space="preserve">
</t>
        </r>
      </text>
    </comment>
    <comment ref="AS26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V26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W26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D27" authorId="0">
      <text>
        <r>
          <rPr>
            <b/>
            <sz val="8"/>
            <rFont val="Tahoma"/>
            <family val="2"/>
          </rPr>
          <t>((.87435/fck)*(fy*p/100)^2) + (-0.87*(fy*p/100)) + (Mu/b*d^2) = 0</t>
        </r>
        <r>
          <rPr>
            <sz val="8"/>
            <rFont val="Tahoma"/>
            <family val="2"/>
          </rPr>
          <t xml:space="preserve">
 </t>
        </r>
      </text>
    </comment>
    <comment ref="AE27" authorId="0">
      <text>
        <r>
          <rPr>
            <b/>
            <sz val="8"/>
            <rFont val="Tahoma"/>
            <family val="2"/>
          </rPr>
          <t>Ast=(p*b*d)/100</t>
        </r>
        <r>
          <rPr>
            <sz val="8"/>
            <rFont val="Tahoma"/>
            <family val="2"/>
          </rPr>
          <t xml:space="preserve">
</t>
        </r>
      </text>
    </comment>
    <comment ref="AG27" authorId="0">
      <text>
        <r>
          <rPr>
            <b/>
            <sz val="8"/>
            <rFont val="Tahoma"/>
            <family val="2"/>
          </rPr>
          <t>((.87435/fck)*(fy*p/100)^2) + (-0.87*(fy*p/100)) + (Mu/b*d^2) = 0</t>
        </r>
        <r>
          <rPr>
            <sz val="8"/>
            <rFont val="Tahoma"/>
            <family val="2"/>
          </rPr>
          <t xml:space="preserve">
 </t>
        </r>
      </text>
    </comment>
    <comment ref="AH27" authorId="0">
      <text>
        <r>
          <rPr>
            <b/>
            <sz val="8"/>
            <rFont val="Tahoma"/>
            <family val="2"/>
          </rPr>
          <t>Ast=(p*b*d)/100</t>
        </r>
        <r>
          <rPr>
            <sz val="8"/>
            <rFont val="Tahoma"/>
            <family val="2"/>
          </rPr>
          <t xml:space="preserve">
</t>
        </r>
      </text>
    </comment>
    <comment ref="AS27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V27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W27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D28" authorId="0">
      <text>
        <r>
          <rPr>
            <b/>
            <sz val="8"/>
            <rFont val="Tahoma"/>
            <family val="2"/>
          </rPr>
          <t>((.87435/fck)*(fy*p/100)^2) + (-0.87*(fy*p/100)) + (Mu/b*d^2) = 0</t>
        </r>
        <r>
          <rPr>
            <sz val="8"/>
            <rFont val="Tahoma"/>
            <family val="2"/>
          </rPr>
          <t xml:space="preserve">
 </t>
        </r>
      </text>
    </comment>
    <comment ref="AE28" authorId="0">
      <text>
        <r>
          <rPr>
            <b/>
            <sz val="8"/>
            <rFont val="Tahoma"/>
            <family val="2"/>
          </rPr>
          <t>Ast=(p*b*d)/100</t>
        </r>
        <r>
          <rPr>
            <sz val="8"/>
            <rFont val="Tahoma"/>
            <family val="2"/>
          </rPr>
          <t xml:space="preserve">
</t>
        </r>
      </text>
    </comment>
    <comment ref="AG28" authorId="0">
      <text>
        <r>
          <rPr>
            <b/>
            <sz val="8"/>
            <rFont val="Tahoma"/>
            <family val="2"/>
          </rPr>
          <t>((.87435/fck)*(fy*p/100)^2) + (-0.87*(fy*p/100)) + (Mu/b*d^2) = 0</t>
        </r>
        <r>
          <rPr>
            <sz val="8"/>
            <rFont val="Tahoma"/>
            <family val="2"/>
          </rPr>
          <t xml:space="preserve">
 </t>
        </r>
      </text>
    </comment>
    <comment ref="AH28" authorId="0">
      <text>
        <r>
          <rPr>
            <b/>
            <sz val="8"/>
            <rFont val="Tahoma"/>
            <family val="2"/>
          </rPr>
          <t>Ast=(p*b*d)/100</t>
        </r>
        <r>
          <rPr>
            <sz val="8"/>
            <rFont val="Tahoma"/>
            <family val="2"/>
          </rPr>
          <t xml:space="preserve">
</t>
        </r>
      </text>
    </comment>
    <comment ref="AS28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V28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W28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D29" authorId="0">
      <text>
        <r>
          <rPr>
            <b/>
            <sz val="8"/>
            <rFont val="Tahoma"/>
            <family val="2"/>
          </rPr>
          <t>((.87435/fck)*(fy*p/100)^2) + (-0.87*(fy*p/100)) + (Mu/b*d^2) = 0</t>
        </r>
        <r>
          <rPr>
            <sz val="8"/>
            <rFont val="Tahoma"/>
            <family val="2"/>
          </rPr>
          <t xml:space="preserve">
 </t>
        </r>
      </text>
    </comment>
    <comment ref="AE29" authorId="0">
      <text>
        <r>
          <rPr>
            <b/>
            <sz val="8"/>
            <rFont val="Tahoma"/>
            <family val="2"/>
          </rPr>
          <t>Ast=(p*b*d)/100</t>
        </r>
        <r>
          <rPr>
            <sz val="8"/>
            <rFont val="Tahoma"/>
            <family val="2"/>
          </rPr>
          <t xml:space="preserve">
</t>
        </r>
      </text>
    </comment>
    <comment ref="AG29" authorId="0">
      <text>
        <r>
          <rPr>
            <b/>
            <sz val="8"/>
            <rFont val="Tahoma"/>
            <family val="2"/>
          </rPr>
          <t>((.87435/fck)*(fy*p/100)^2) + (-0.87*(fy*p/100)) + (Mu/b*d^2) = 0</t>
        </r>
        <r>
          <rPr>
            <sz val="8"/>
            <rFont val="Tahoma"/>
            <family val="2"/>
          </rPr>
          <t xml:space="preserve">
 </t>
        </r>
      </text>
    </comment>
    <comment ref="AH29" authorId="0">
      <text>
        <r>
          <rPr>
            <b/>
            <sz val="8"/>
            <rFont val="Tahoma"/>
            <family val="2"/>
          </rPr>
          <t>Ast=(p*b*d)/100</t>
        </r>
        <r>
          <rPr>
            <sz val="8"/>
            <rFont val="Tahoma"/>
            <family val="2"/>
          </rPr>
          <t xml:space="preserve">
</t>
        </r>
      </text>
    </comment>
    <comment ref="AS29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V29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W29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D30" authorId="0">
      <text>
        <r>
          <rPr>
            <b/>
            <sz val="8"/>
            <rFont val="Tahoma"/>
            <family val="2"/>
          </rPr>
          <t>((.87435/fck)*(fy*p/100)^2) + (-0.87*(fy*p/100)) + (Mu/b*d^2) = 0</t>
        </r>
        <r>
          <rPr>
            <sz val="8"/>
            <rFont val="Tahoma"/>
            <family val="2"/>
          </rPr>
          <t xml:space="preserve">
 </t>
        </r>
      </text>
    </comment>
    <comment ref="AE30" authorId="0">
      <text>
        <r>
          <rPr>
            <b/>
            <sz val="8"/>
            <rFont val="Tahoma"/>
            <family val="2"/>
          </rPr>
          <t>Ast=(p*b*d)/100</t>
        </r>
        <r>
          <rPr>
            <sz val="8"/>
            <rFont val="Tahoma"/>
            <family val="2"/>
          </rPr>
          <t xml:space="preserve">
</t>
        </r>
      </text>
    </comment>
    <comment ref="AG30" authorId="0">
      <text>
        <r>
          <rPr>
            <b/>
            <sz val="8"/>
            <rFont val="Tahoma"/>
            <family val="2"/>
          </rPr>
          <t>((.87435/fck)*(fy*p/100)^2) + (-0.87*(fy*p/100)) + (Mu/b*d^2) = 0</t>
        </r>
        <r>
          <rPr>
            <sz val="8"/>
            <rFont val="Tahoma"/>
            <family val="2"/>
          </rPr>
          <t xml:space="preserve">
 </t>
        </r>
      </text>
    </comment>
    <comment ref="AH30" authorId="0">
      <text>
        <r>
          <rPr>
            <b/>
            <sz val="8"/>
            <rFont val="Tahoma"/>
            <family val="2"/>
          </rPr>
          <t>Ast=(p*b*d)/100</t>
        </r>
        <r>
          <rPr>
            <sz val="8"/>
            <rFont val="Tahoma"/>
            <family val="2"/>
          </rPr>
          <t xml:space="preserve">
</t>
        </r>
      </text>
    </comment>
    <comment ref="AS30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V30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W30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D31" authorId="0">
      <text>
        <r>
          <rPr>
            <b/>
            <sz val="8"/>
            <rFont val="Tahoma"/>
            <family val="2"/>
          </rPr>
          <t>((.87435/fck)*(fy*p/100)^2) + (-0.87*(fy*p/100)) + (Mu/b*d^2) = 0</t>
        </r>
        <r>
          <rPr>
            <sz val="8"/>
            <rFont val="Tahoma"/>
            <family val="2"/>
          </rPr>
          <t xml:space="preserve">
 </t>
        </r>
      </text>
    </comment>
    <comment ref="AE31" authorId="0">
      <text>
        <r>
          <rPr>
            <b/>
            <sz val="8"/>
            <rFont val="Tahoma"/>
            <family val="2"/>
          </rPr>
          <t>Ast=(p*b*d)/100</t>
        </r>
        <r>
          <rPr>
            <sz val="8"/>
            <rFont val="Tahoma"/>
            <family val="2"/>
          </rPr>
          <t xml:space="preserve">
</t>
        </r>
      </text>
    </comment>
    <comment ref="AG31" authorId="0">
      <text>
        <r>
          <rPr>
            <b/>
            <sz val="8"/>
            <rFont val="Tahoma"/>
            <family val="2"/>
          </rPr>
          <t>((.87435/fck)*(fy*p/100)^2) + (-0.87*(fy*p/100)) + (Mu/b*d^2) = 0</t>
        </r>
        <r>
          <rPr>
            <sz val="8"/>
            <rFont val="Tahoma"/>
            <family val="2"/>
          </rPr>
          <t xml:space="preserve">
 </t>
        </r>
      </text>
    </comment>
    <comment ref="AH31" authorId="0">
      <text>
        <r>
          <rPr>
            <b/>
            <sz val="8"/>
            <rFont val="Tahoma"/>
            <family val="2"/>
          </rPr>
          <t>Ast=(p*b*d)/100</t>
        </r>
        <r>
          <rPr>
            <sz val="8"/>
            <rFont val="Tahoma"/>
            <family val="2"/>
          </rPr>
          <t xml:space="preserve">
</t>
        </r>
      </text>
    </comment>
    <comment ref="AS31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V31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W31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D32" authorId="0">
      <text>
        <r>
          <rPr>
            <b/>
            <sz val="8"/>
            <rFont val="Tahoma"/>
            <family val="2"/>
          </rPr>
          <t>((.87435/fck)*(fy*p/100)^2) + (-0.87*(fy*p/100)) + (Mu/b*d^2) = 0</t>
        </r>
        <r>
          <rPr>
            <sz val="8"/>
            <rFont val="Tahoma"/>
            <family val="2"/>
          </rPr>
          <t xml:space="preserve">
 </t>
        </r>
      </text>
    </comment>
    <comment ref="AE32" authorId="0">
      <text>
        <r>
          <rPr>
            <b/>
            <sz val="8"/>
            <rFont val="Tahoma"/>
            <family val="2"/>
          </rPr>
          <t>Ast=(p*b*d)/100</t>
        </r>
        <r>
          <rPr>
            <sz val="8"/>
            <rFont val="Tahoma"/>
            <family val="2"/>
          </rPr>
          <t xml:space="preserve">
</t>
        </r>
      </text>
    </comment>
    <comment ref="AG32" authorId="0">
      <text>
        <r>
          <rPr>
            <b/>
            <sz val="8"/>
            <rFont val="Tahoma"/>
            <family val="2"/>
          </rPr>
          <t>((.87435/fck)*(fy*p/100)^2) + (-0.87*(fy*p/100)) + (Mu/b*d^2) = 0</t>
        </r>
        <r>
          <rPr>
            <sz val="8"/>
            <rFont val="Tahoma"/>
            <family val="2"/>
          </rPr>
          <t xml:space="preserve">
 </t>
        </r>
      </text>
    </comment>
    <comment ref="AH32" authorId="0">
      <text>
        <r>
          <rPr>
            <b/>
            <sz val="8"/>
            <rFont val="Tahoma"/>
            <family val="2"/>
          </rPr>
          <t>Ast=(p*b*d)/100</t>
        </r>
        <r>
          <rPr>
            <sz val="8"/>
            <rFont val="Tahoma"/>
            <family val="2"/>
          </rPr>
          <t xml:space="preserve">
</t>
        </r>
      </text>
    </comment>
    <comment ref="AS32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V32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W32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D33" authorId="0">
      <text>
        <r>
          <rPr>
            <b/>
            <sz val="8"/>
            <rFont val="Tahoma"/>
            <family val="2"/>
          </rPr>
          <t>((.87435/fck)*(fy*p/100)^2) + (-0.87*(fy*p/100)) + (Mu/b*d^2) = 0</t>
        </r>
        <r>
          <rPr>
            <sz val="8"/>
            <rFont val="Tahoma"/>
            <family val="2"/>
          </rPr>
          <t xml:space="preserve">
 </t>
        </r>
      </text>
    </comment>
    <comment ref="AE33" authorId="0">
      <text>
        <r>
          <rPr>
            <b/>
            <sz val="8"/>
            <rFont val="Tahoma"/>
            <family val="2"/>
          </rPr>
          <t>Ast=(p*b*d)/100</t>
        </r>
        <r>
          <rPr>
            <sz val="8"/>
            <rFont val="Tahoma"/>
            <family val="2"/>
          </rPr>
          <t xml:space="preserve">
</t>
        </r>
      </text>
    </comment>
    <comment ref="AG33" authorId="0">
      <text>
        <r>
          <rPr>
            <b/>
            <sz val="8"/>
            <rFont val="Tahoma"/>
            <family val="2"/>
          </rPr>
          <t>((.87435/fck)*(fy*p/100)^2) + (-0.87*(fy*p/100)) + (Mu/b*d^2) = 0</t>
        </r>
        <r>
          <rPr>
            <sz val="8"/>
            <rFont val="Tahoma"/>
            <family val="2"/>
          </rPr>
          <t xml:space="preserve">
 </t>
        </r>
      </text>
    </comment>
    <comment ref="AH33" authorId="0">
      <text>
        <r>
          <rPr>
            <b/>
            <sz val="8"/>
            <rFont val="Tahoma"/>
            <family val="2"/>
          </rPr>
          <t>Ast=(p*b*d)/100</t>
        </r>
        <r>
          <rPr>
            <sz val="8"/>
            <rFont val="Tahoma"/>
            <family val="2"/>
          </rPr>
          <t xml:space="preserve">
</t>
        </r>
      </text>
    </comment>
    <comment ref="AS33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V33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W33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D34" authorId="0">
      <text>
        <r>
          <rPr>
            <b/>
            <sz val="8"/>
            <rFont val="Tahoma"/>
            <family val="2"/>
          </rPr>
          <t>((.87435/fck)*(fy*p/100)^2) + (-0.87*(fy*p/100)) + (Mu/b*d^2) = 0</t>
        </r>
        <r>
          <rPr>
            <sz val="8"/>
            <rFont val="Tahoma"/>
            <family val="2"/>
          </rPr>
          <t xml:space="preserve">
 </t>
        </r>
      </text>
    </comment>
    <comment ref="AE34" authorId="0">
      <text>
        <r>
          <rPr>
            <b/>
            <sz val="8"/>
            <rFont val="Tahoma"/>
            <family val="2"/>
          </rPr>
          <t>Ast=(p*b*d)/100</t>
        </r>
        <r>
          <rPr>
            <sz val="8"/>
            <rFont val="Tahoma"/>
            <family val="2"/>
          </rPr>
          <t xml:space="preserve">
</t>
        </r>
      </text>
    </comment>
    <comment ref="AG34" authorId="0">
      <text>
        <r>
          <rPr>
            <b/>
            <sz val="8"/>
            <rFont val="Tahoma"/>
            <family val="2"/>
          </rPr>
          <t>((.87435/fck)*(fy*p/100)^2) + (-0.87*(fy*p/100)) + (Mu/b*d^2) = 0</t>
        </r>
        <r>
          <rPr>
            <sz val="8"/>
            <rFont val="Tahoma"/>
            <family val="2"/>
          </rPr>
          <t xml:space="preserve">
 </t>
        </r>
      </text>
    </comment>
    <comment ref="AH34" authorId="0">
      <text>
        <r>
          <rPr>
            <b/>
            <sz val="8"/>
            <rFont val="Tahoma"/>
            <family val="2"/>
          </rPr>
          <t>Ast=(p*b*d)/100</t>
        </r>
        <r>
          <rPr>
            <sz val="8"/>
            <rFont val="Tahoma"/>
            <family val="2"/>
          </rPr>
          <t xml:space="preserve">
</t>
        </r>
      </text>
    </comment>
    <comment ref="AS34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V34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W34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D35" authorId="0">
      <text>
        <r>
          <rPr>
            <b/>
            <sz val="8"/>
            <rFont val="Tahoma"/>
            <family val="2"/>
          </rPr>
          <t>((.87435/fck)*(fy*p/100)^2) + (-0.87*(fy*p/100)) + (Mu/b*d^2) = 0</t>
        </r>
        <r>
          <rPr>
            <sz val="8"/>
            <rFont val="Tahoma"/>
            <family val="2"/>
          </rPr>
          <t xml:space="preserve">
 </t>
        </r>
      </text>
    </comment>
    <comment ref="AE35" authorId="0">
      <text>
        <r>
          <rPr>
            <b/>
            <sz val="8"/>
            <rFont val="Tahoma"/>
            <family val="2"/>
          </rPr>
          <t>Ast=(p*b*d)/100</t>
        </r>
        <r>
          <rPr>
            <sz val="8"/>
            <rFont val="Tahoma"/>
            <family val="2"/>
          </rPr>
          <t xml:space="preserve">
</t>
        </r>
      </text>
    </comment>
    <comment ref="AG35" authorId="0">
      <text>
        <r>
          <rPr>
            <b/>
            <sz val="8"/>
            <rFont val="Tahoma"/>
            <family val="2"/>
          </rPr>
          <t>((.87435/fck)*(fy*p/100)^2) + (-0.87*(fy*p/100)) + (Mu/b*d^2) = 0</t>
        </r>
        <r>
          <rPr>
            <sz val="8"/>
            <rFont val="Tahoma"/>
            <family val="2"/>
          </rPr>
          <t xml:space="preserve">
 </t>
        </r>
      </text>
    </comment>
    <comment ref="AH35" authorId="0">
      <text>
        <r>
          <rPr>
            <b/>
            <sz val="8"/>
            <rFont val="Tahoma"/>
            <family val="2"/>
          </rPr>
          <t>Ast=(p*b*d)/100</t>
        </r>
        <r>
          <rPr>
            <sz val="8"/>
            <rFont val="Tahoma"/>
            <family val="2"/>
          </rPr>
          <t xml:space="preserve">
</t>
        </r>
      </text>
    </comment>
    <comment ref="AS35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V35" authorId="0">
      <text>
        <r>
          <rPr>
            <b/>
            <sz val="8"/>
            <rFont val="Tahoma"/>
            <family val="2"/>
          </rPr>
          <t>refer Table D SP16 pg10</t>
        </r>
      </text>
    </comment>
    <comment ref="AW35" authorId="0">
      <text>
        <r>
          <rPr>
            <b/>
            <sz val="8"/>
            <rFont val="Tahoma"/>
            <family val="2"/>
          </rPr>
          <t>refer Table D SP16 pg10</t>
        </r>
      </text>
    </comment>
  </commentList>
</comments>
</file>

<file path=xl/sharedStrings.xml><?xml version="1.0" encoding="utf-8"?>
<sst xmlns="http://schemas.openxmlformats.org/spreadsheetml/2006/main" count="2052" uniqueCount="993">
  <si>
    <t>b</t>
  </si>
  <si>
    <t>Moment</t>
  </si>
  <si>
    <t>Bar dia</t>
  </si>
  <si>
    <r>
      <t>Mulim/bd</t>
    </r>
    <r>
      <rPr>
        <vertAlign val="superscript"/>
        <sz val="10"/>
        <rFont val="Arial"/>
        <family val="2"/>
      </rPr>
      <t>2</t>
    </r>
  </si>
  <si>
    <t>d'/d</t>
  </si>
  <si>
    <t>Ast</t>
  </si>
  <si>
    <t>Asc</t>
  </si>
  <si>
    <t>a</t>
  </si>
  <si>
    <t>c</t>
  </si>
  <si>
    <t>-p</t>
  </si>
  <si>
    <t>Beam Data</t>
  </si>
  <si>
    <t>width</t>
  </si>
  <si>
    <t>depth</t>
  </si>
  <si>
    <t>Material Grades</t>
  </si>
  <si>
    <t>Area of Steel</t>
  </si>
  <si>
    <t>Min Steel</t>
  </si>
  <si>
    <t>Max Steel</t>
  </si>
  <si>
    <t>SRB</t>
  </si>
  <si>
    <t>Nos</t>
  </si>
  <si>
    <t>Type</t>
  </si>
  <si>
    <t>Layer 1</t>
  </si>
  <si>
    <t>Layer 2</t>
  </si>
  <si>
    <t>Layer 3</t>
  </si>
  <si>
    <t>Total Steel Provided</t>
  </si>
  <si>
    <t>KN</t>
  </si>
  <si>
    <t>Spacing</t>
  </si>
  <si>
    <t>β</t>
  </si>
  <si>
    <t>Pt provided</t>
  </si>
  <si>
    <t>Shear Force</t>
  </si>
  <si>
    <t>Min steel %</t>
  </si>
  <si>
    <t>xumax</t>
  </si>
  <si>
    <t>xumax/d</t>
  </si>
  <si>
    <t>-</t>
  </si>
  <si>
    <t>Section Check</t>
  </si>
  <si>
    <t>Load</t>
  </si>
  <si>
    <t>Pu</t>
  </si>
  <si>
    <t xml:space="preserve">Moment </t>
  </si>
  <si>
    <t>d</t>
  </si>
  <si>
    <t>d'</t>
  </si>
  <si>
    <t>pt/fck</t>
  </si>
  <si>
    <t>Grade</t>
  </si>
  <si>
    <t>fck</t>
  </si>
  <si>
    <t>dia</t>
  </si>
  <si>
    <t>nos</t>
  </si>
  <si>
    <t>ast</t>
  </si>
  <si>
    <t>Slab Data</t>
  </si>
  <si>
    <t>l</t>
  </si>
  <si>
    <t>Column Data</t>
  </si>
  <si>
    <t>ey</t>
  </si>
  <si>
    <t>fy</t>
  </si>
  <si>
    <t>ly/lx</t>
  </si>
  <si>
    <t>Interpolation</t>
  </si>
  <si>
    <t>Table 26 IS 456 pg 91</t>
  </si>
  <si>
    <r>
      <t xml:space="preserve">Concrete </t>
    </r>
  </si>
  <si>
    <r>
      <t xml:space="preserve">Steel </t>
    </r>
  </si>
  <si>
    <t>Moments</t>
  </si>
  <si>
    <t>Mx</t>
  </si>
  <si>
    <t>-px</t>
  </si>
  <si>
    <t>-py</t>
  </si>
  <si>
    <t>cx</t>
  </si>
  <si>
    <t>cy</t>
  </si>
  <si>
    <t>ONE WAY</t>
  </si>
  <si>
    <t>TWO WAY</t>
  </si>
  <si>
    <r>
      <t>α</t>
    </r>
    <r>
      <rPr>
        <sz val="10"/>
        <rFont val="Arial"/>
        <family val="2"/>
      </rPr>
      <t>x</t>
    </r>
  </si>
  <si>
    <r>
      <t>α</t>
    </r>
    <r>
      <rPr>
        <sz val="10"/>
        <rFont val="Arial"/>
        <family val="2"/>
      </rPr>
      <t>y</t>
    </r>
  </si>
  <si>
    <t>Astx</t>
  </si>
  <si>
    <t>Diameter of bar</t>
  </si>
  <si>
    <t>Spacing across x</t>
  </si>
  <si>
    <t>Spacing across y</t>
  </si>
  <si>
    <r>
      <t>Mux/bd</t>
    </r>
    <r>
      <rPr>
        <vertAlign val="superscript"/>
        <sz val="10"/>
        <rFont val="Arial"/>
        <family val="2"/>
      </rPr>
      <t>2</t>
    </r>
  </si>
  <si>
    <r>
      <t>Muy/bd</t>
    </r>
    <r>
      <rPr>
        <vertAlign val="superscript"/>
        <sz val="10"/>
        <rFont val="Arial"/>
        <family val="2"/>
      </rPr>
      <t>2</t>
    </r>
  </si>
  <si>
    <t>Min Ast</t>
  </si>
  <si>
    <t/>
  </si>
  <si>
    <r>
      <t>8</t>
    </r>
    <r>
      <rPr>
        <sz val="12"/>
        <rFont val="Arial"/>
        <family val="2"/>
      </rPr>
      <t>ø</t>
    </r>
  </si>
  <si>
    <r>
      <t>16</t>
    </r>
    <r>
      <rPr>
        <sz val="12"/>
        <rFont val="Arial"/>
        <family val="2"/>
      </rPr>
      <t>ø</t>
    </r>
  </si>
  <si>
    <r>
      <t>12</t>
    </r>
    <r>
      <rPr>
        <sz val="12"/>
        <rFont val="Arial"/>
        <family val="2"/>
      </rPr>
      <t>ø</t>
    </r>
  </si>
  <si>
    <r>
      <t>10</t>
    </r>
    <r>
      <rPr>
        <sz val="12"/>
        <rFont val="Arial"/>
        <family val="2"/>
      </rPr>
      <t>ø</t>
    </r>
  </si>
  <si>
    <t xml:space="preserve">Mulim </t>
  </si>
  <si>
    <t>Slab Design</t>
  </si>
  <si>
    <t>Beam Design</t>
  </si>
  <si>
    <t>Concrete</t>
  </si>
  <si>
    <t>Effective Span (l)</t>
  </si>
  <si>
    <t>Riser (R)</t>
  </si>
  <si>
    <t>Thread (T)</t>
  </si>
  <si>
    <t>Waist Slab thickness (t)</t>
  </si>
  <si>
    <t>Effective Depth of Waist Slab (d)</t>
  </si>
  <si>
    <t>Clear Cover</t>
  </si>
  <si>
    <t>Data</t>
  </si>
  <si>
    <t>Loading</t>
  </si>
  <si>
    <t>Loads on going</t>
  </si>
  <si>
    <t>Self weight of waist slab</t>
  </si>
  <si>
    <t>Self weight of steps</t>
  </si>
  <si>
    <t>Live Load</t>
  </si>
  <si>
    <t>Floor Finish Load</t>
  </si>
  <si>
    <t>Self weight of landing slab</t>
  </si>
  <si>
    <t>Total Load</t>
  </si>
  <si>
    <t>Factored Load</t>
  </si>
  <si>
    <t>Loads on waist slab</t>
  </si>
  <si>
    <t>Area of Main Steel</t>
  </si>
  <si>
    <t>Area of Distribution Steel</t>
  </si>
  <si>
    <t>Grade of Concrete (fck)</t>
  </si>
  <si>
    <t>Grade of Steel (fy)</t>
  </si>
  <si>
    <t>Staircase Design</t>
  </si>
  <si>
    <t>Bending Moment</t>
  </si>
  <si>
    <t>Loading Calculation</t>
  </si>
  <si>
    <t>Total weight of slab</t>
  </si>
  <si>
    <t>Total weight of beams in x direction</t>
  </si>
  <si>
    <t>Total weight of beams in y direction</t>
  </si>
  <si>
    <t>Total weight of Live load</t>
  </si>
  <si>
    <t>Loads</t>
  </si>
  <si>
    <t>Floor Finish</t>
  </si>
  <si>
    <t>Other</t>
  </si>
  <si>
    <t>Other load</t>
  </si>
  <si>
    <t>Total weight of Floor Finish</t>
  </si>
  <si>
    <t>Total Load/sqm</t>
  </si>
  <si>
    <t>Ratios</t>
  </si>
  <si>
    <t>Design Parameters</t>
  </si>
  <si>
    <t>Moment of Inertia</t>
  </si>
  <si>
    <t>Torsional Rigidity</t>
  </si>
  <si>
    <t>Long Term Deflection</t>
  </si>
  <si>
    <t>x direction</t>
  </si>
  <si>
    <t>y direction</t>
  </si>
  <si>
    <r>
      <t>D</t>
    </r>
    <r>
      <rPr>
        <i/>
        <vertAlign val="subscript"/>
        <sz val="10"/>
        <rFont val="Arial"/>
        <family val="2"/>
      </rPr>
      <t>x</t>
    </r>
    <r>
      <rPr>
        <i/>
        <sz val="10"/>
        <rFont val="Arial"/>
        <family val="2"/>
      </rPr>
      <t>=EI/a</t>
    </r>
    <r>
      <rPr>
        <i/>
        <vertAlign val="subscript"/>
        <sz val="10"/>
        <rFont val="Arial"/>
        <family val="2"/>
      </rPr>
      <t xml:space="preserve">1 </t>
    </r>
  </si>
  <si>
    <r>
      <t>D</t>
    </r>
    <r>
      <rPr>
        <i/>
        <vertAlign val="subscript"/>
        <sz val="10"/>
        <rFont val="Arial"/>
        <family val="2"/>
      </rPr>
      <t>y</t>
    </r>
    <r>
      <rPr>
        <i/>
        <sz val="10"/>
        <rFont val="Arial"/>
        <family val="2"/>
      </rPr>
      <t>=EI/b</t>
    </r>
    <r>
      <rPr>
        <i/>
        <vertAlign val="subscript"/>
        <sz val="10"/>
        <rFont val="Arial"/>
        <family val="2"/>
      </rPr>
      <t xml:space="preserve">1 </t>
    </r>
  </si>
  <si>
    <t>Flexural Rigidity of ribs</t>
  </si>
  <si>
    <t>Torsional Constants (Polar Sectional Modulus)</t>
  </si>
  <si>
    <t>Modulus of Shear</t>
  </si>
  <si>
    <r>
      <t>G=E / (2(1+</t>
    </r>
    <r>
      <rPr>
        <i/>
        <sz val="12"/>
        <rFont val="Arial"/>
        <family val="2"/>
      </rPr>
      <t xml:space="preserve">μ) </t>
    </r>
  </si>
  <si>
    <r>
      <t>C</t>
    </r>
    <r>
      <rPr>
        <i/>
        <vertAlign val="subscript"/>
        <sz val="10"/>
        <rFont val="Arial"/>
        <family val="2"/>
      </rPr>
      <t>x</t>
    </r>
    <r>
      <rPr>
        <i/>
        <sz val="10"/>
        <rFont val="Arial"/>
        <family val="2"/>
      </rPr>
      <t>=GC</t>
    </r>
    <r>
      <rPr>
        <i/>
        <vertAlign val="subscript"/>
        <sz val="10"/>
        <rFont val="Arial"/>
        <family val="2"/>
      </rPr>
      <t>1</t>
    </r>
    <r>
      <rPr>
        <i/>
        <sz val="10"/>
        <rFont val="Arial"/>
        <family val="2"/>
      </rPr>
      <t>/b</t>
    </r>
    <r>
      <rPr>
        <i/>
        <vertAlign val="subscript"/>
        <sz val="10"/>
        <rFont val="Arial"/>
        <family val="2"/>
      </rPr>
      <t>1</t>
    </r>
  </si>
  <si>
    <r>
      <t>C</t>
    </r>
    <r>
      <rPr>
        <i/>
        <vertAlign val="subscript"/>
        <sz val="10"/>
        <rFont val="Arial"/>
        <family val="2"/>
      </rPr>
      <t>y</t>
    </r>
    <r>
      <rPr>
        <i/>
        <sz val="10"/>
        <rFont val="Arial"/>
        <family val="2"/>
      </rPr>
      <t>=GC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>/a</t>
    </r>
    <r>
      <rPr>
        <i/>
        <vertAlign val="sub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</t>
    </r>
  </si>
  <si>
    <r>
      <t>2H=C</t>
    </r>
    <r>
      <rPr>
        <i/>
        <vertAlign val="subscript"/>
        <sz val="10"/>
        <rFont val="Arial"/>
        <family val="2"/>
      </rPr>
      <t>x</t>
    </r>
    <r>
      <rPr>
        <i/>
        <sz val="10"/>
        <rFont val="Arial"/>
        <family val="2"/>
      </rPr>
      <t>+C</t>
    </r>
    <r>
      <rPr>
        <i/>
        <vertAlign val="subscript"/>
        <sz val="10"/>
        <rFont val="Arial"/>
        <family val="2"/>
      </rPr>
      <t>y</t>
    </r>
  </si>
  <si>
    <t xml:space="preserve">Central Deflection </t>
  </si>
  <si>
    <t>Max Bending Moments</t>
  </si>
  <si>
    <t>Max Torsional Moments</t>
  </si>
  <si>
    <r>
      <t>M</t>
    </r>
    <r>
      <rPr>
        <i/>
        <vertAlign val="subscript"/>
        <sz val="10"/>
        <rFont val="Arial"/>
        <family val="2"/>
      </rPr>
      <t>xy</t>
    </r>
    <r>
      <rPr>
        <i/>
        <sz val="10"/>
        <rFont val="Arial"/>
        <family val="2"/>
      </rPr>
      <t>=(C</t>
    </r>
    <r>
      <rPr>
        <i/>
        <vertAlign val="subscript"/>
        <sz val="10"/>
        <rFont val="Arial"/>
        <family val="2"/>
      </rPr>
      <t>x</t>
    </r>
    <r>
      <rPr>
        <i/>
        <sz val="10"/>
        <rFont val="Arial"/>
        <family val="2"/>
      </rPr>
      <t>*</t>
    </r>
    <r>
      <rPr>
        <i/>
        <sz val="12"/>
        <rFont val="Arial"/>
        <family val="2"/>
      </rPr>
      <t>π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*</t>
    </r>
    <r>
      <rPr>
        <i/>
        <sz val="12"/>
        <rFont val="Arial"/>
        <family val="2"/>
      </rPr>
      <t>ω</t>
    </r>
    <r>
      <rPr>
        <i/>
        <vertAlign val="subscript"/>
        <sz val="10"/>
        <rFont val="Arial"/>
        <family val="2"/>
      </rPr>
      <t>1</t>
    </r>
    <r>
      <rPr>
        <i/>
        <sz val="10"/>
        <rFont val="Arial"/>
        <family val="2"/>
      </rPr>
      <t>)/(L</t>
    </r>
    <r>
      <rPr>
        <i/>
        <vertAlign val="subscript"/>
        <sz val="10"/>
        <rFont val="Arial"/>
        <family val="2"/>
      </rPr>
      <t>x</t>
    </r>
    <r>
      <rPr>
        <i/>
        <sz val="10"/>
        <rFont val="Arial"/>
        <family val="2"/>
      </rPr>
      <t>*L</t>
    </r>
    <r>
      <rPr>
        <i/>
        <vertAlign val="subscript"/>
        <sz val="10"/>
        <rFont val="Arial"/>
        <family val="2"/>
      </rPr>
      <t>y</t>
    </r>
    <r>
      <rPr>
        <i/>
        <sz val="10"/>
        <rFont val="Arial"/>
        <family val="2"/>
      </rPr>
      <t>)</t>
    </r>
  </si>
  <si>
    <t>x</t>
  </si>
  <si>
    <t>y</t>
  </si>
  <si>
    <r>
      <t>sin(</t>
    </r>
    <r>
      <rPr>
        <sz val="12"/>
        <rFont val="Arial"/>
        <family val="2"/>
      </rPr>
      <t>π</t>
    </r>
    <r>
      <rPr>
        <sz val="10"/>
        <rFont val="Arial"/>
        <family val="2"/>
      </rPr>
      <t>x/L</t>
    </r>
    <r>
      <rPr>
        <vertAlign val="subscript"/>
        <sz val="10"/>
        <rFont val="Arial"/>
        <family val="2"/>
      </rPr>
      <t>x</t>
    </r>
    <r>
      <rPr>
        <sz val="12"/>
        <rFont val="Arial"/>
        <family val="2"/>
      </rPr>
      <t>)</t>
    </r>
  </si>
  <si>
    <r>
      <t>cos(</t>
    </r>
    <r>
      <rPr>
        <sz val="12"/>
        <rFont val="Arial"/>
        <family val="2"/>
      </rPr>
      <t>π</t>
    </r>
    <r>
      <rPr>
        <sz val="10"/>
        <rFont val="Arial"/>
        <family val="2"/>
      </rPr>
      <t>x/L</t>
    </r>
    <r>
      <rPr>
        <vertAlign val="subscript"/>
        <sz val="10"/>
        <rFont val="Arial"/>
        <family val="2"/>
      </rPr>
      <t>x</t>
    </r>
    <r>
      <rPr>
        <sz val="12"/>
        <rFont val="Arial"/>
        <family val="2"/>
      </rPr>
      <t>)</t>
    </r>
  </si>
  <si>
    <r>
      <t>sin(</t>
    </r>
    <r>
      <rPr>
        <sz val="12"/>
        <rFont val="Arial"/>
        <family val="2"/>
      </rPr>
      <t>π</t>
    </r>
    <r>
      <rPr>
        <sz val="10"/>
        <rFont val="Arial"/>
        <family val="2"/>
      </rPr>
      <t>y/L</t>
    </r>
    <r>
      <rPr>
        <vertAlign val="subscript"/>
        <sz val="10"/>
        <rFont val="Arial"/>
        <family val="2"/>
      </rPr>
      <t>y</t>
    </r>
    <r>
      <rPr>
        <sz val="12"/>
        <rFont val="Arial"/>
        <family val="2"/>
      </rPr>
      <t>)</t>
    </r>
  </si>
  <si>
    <r>
      <t>cos(</t>
    </r>
    <r>
      <rPr>
        <sz val="12"/>
        <rFont val="Arial"/>
        <family val="2"/>
      </rPr>
      <t>π</t>
    </r>
    <r>
      <rPr>
        <sz val="10"/>
        <rFont val="Arial"/>
        <family val="2"/>
      </rPr>
      <t>y/L</t>
    </r>
    <r>
      <rPr>
        <vertAlign val="subscript"/>
        <sz val="10"/>
        <rFont val="Arial"/>
        <family val="2"/>
      </rPr>
      <t>y</t>
    </r>
    <r>
      <rPr>
        <sz val="12"/>
        <rFont val="Arial"/>
        <family val="2"/>
      </rPr>
      <t>)</t>
    </r>
  </si>
  <si>
    <t>Length of beams</t>
  </si>
  <si>
    <t>Number of beams</t>
  </si>
  <si>
    <r>
      <t>L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=</t>
    </r>
  </si>
  <si>
    <r>
      <t>N</t>
    </r>
    <r>
      <rPr>
        <vertAlign val="subscript"/>
        <sz val="10"/>
        <rFont val="Arial"/>
        <family val="2"/>
      </rPr>
      <t xml:space="preserve">x 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</si>
  <si>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</si>
  <si>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D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=</t>
    </r>
  </si>
  <si>
    <r>
      <t>f</t>
    </r>
    <r>
      <rPr>
        <vertAlign val="subscript"/>
        <sz val="10"/>
        <rFont val="Arial"/>
        <family val="2"/>
      </rPr>
      <t xml:space="preserve">ck </t>
    </r>
    <r>
      <rPr>
        <sz val="10"/>
        <rFont val="Arial"/>
        <family val="2"/>
      </rPr>
      <t>=</t>
    </r>
  </si>
  <si>
    <r>
      <t>f</t>
    </r>
    <r>
      <rPr>
        <vertAlign val="subscript"/>
        <sz val="10"/>
        <rFont val="Arial"/>
        <family val="2"/>
      </rPr>
      <t xml:space="preserve">y </t>
    </r>
    <r>
      <rPr>
        <sz val="10"/>
        <rFont val="Arial"/>
        <family val="2"/>
      </rPr>
      <t>=</t>
    </r>
  </si>
  <si>
    <r>
      <t>L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 xml:space="preserve"> =</t>
    </r>
  </si>
  <si>
    <r>
      <t>N</t>
    </r>
    <r>
      <rPr>
        <vertAlign val="subscript"/>
        <sz val="10"/>
        <rFont val="Arial"/>
        <family val="2"/>
      </rPr>
      <t xml:space="preserve">y </t>
    </r>
    <r>
      <rPr>
        <sz val="10"/>
        <rFont val="Arial"/>
        <family val="2"/>
      </rPr>
      <t>=</t>
    </r>
  </si>
  <si>
    <r>
      <t>b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</si>
  <si>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t>E =</t>
  </si>
  <si>
    <r>
      <t>w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+w</t>
    </r>
    <r>
      <rPr>
        <vertAlign val="subscript"/>
        <sz val="10"/>
        <rFont val="Arial"/>
        <family val="2"/>
      </rPr>
      <t>bx</t>
    </r>
    <r>
      <rPr>
        <sz val="10"/>
        <rFont val="Arial"/>
        <family val="2"/>
      </rPr>
      <t>+w</t>
    </r>
    <r>
      <rPr>
        <vertAlign val="subscript"/>
        <sz val="10"/>
        <rFont val="Arial"/>
        <family val="2"/>
      </rPr>
      <t>by</t>
    </r>
    <r>
      <rPr>
        <sz val="10"/>
        <rFont val="Arial"/>
        <family val="2"/>
      </rPr>
      <t>+w</t>
    </r>
    <r>
      <rPr>
        <vertAlign val="subscript"/>
        <sz val="10"/>
        <rFont val="Arial"/>
        <family val="2"/>
      </rPr>
      <t>ll</t>
    </r>
    <r>
      <rPr>
        <sz val="10"/>
        <rFont val="Arial"/>
        <family val="2"/>
      </rPr>
      <t>+w</t>
    </r>
    <r>
      <rPr>
        <vertAlign val="subscript"/>
        <sz val="10"/>
        <rFont val="Arial"/>
        <family val="2"/>
      </rPr>
      <t>ff</t>
    </r>
    <r>
      <rPr>
        <sz val="10"/>
        <rFont val="Arial"/>
        <family val="2"/>
      </rPr>
      <t>+w</t>
    </r>
    <r>
      <rPr>
        <vertAlign val="subscript"/>
        <sz val="10"/>
        <rFont val="Arial"/>
        <family val="2"/>
      </rPr>
      <t xml:space="preserve">ol </t>
    </r>
    <r>
      <rPr>
        <sz val="10"/>
        <rFont val="Arial"/>
        <family val="2"/>
      </rPr>
      <t>=</t>
    </r>
  </si>
  <si>
    <r>
      <t>w</t>
    </r>
    <r>
      <rPr>
        <vertAlign val="subscript"/>
        <sz val="10"/>
        <rFont val="Arial"/>
        <family val="2"/>
      </rPr>
      <t>ol</t>
    </r>
    <r>
      <rPr>
        <sz val="10"/>
        <rFont val="Arial"/>
        <family val="2"/>
      </rPr>
      <t xml:space="preserve"> =</t>
    </r>
  </si>
  <si>
    <r>
      <t>w</t>
    </r>
    <r>
      <rPr>
        <vertAlign val="subscript"/>
        <sz val="10"/>
        <rFont val="Arial"/>
        <family val="2"/>
      </rPr>
      <t xml:space="preserve">ff </t>
    </r>
    <r>
      <rPr>
        <sz val="10"/>
        <rFont val="Arial"/>
        <family val="2"/>
      </rPr>
      <t>=</t>
    </r>
  </si>
  <si>
    <r>
      <t>w</t>
    </r>
    <r>
      <rPr>
        <vertAlign val="subscript"/>
        <sz val="10"/>
        <rFont val="Arial"/>
        <family val="2"/>
      </rPr>
      <t>ll</t>
    </r>
    <r>
      <rPr>
        <sz val="10"/>
        <rFont val="Arial"/>
        <family val="2"/>
      </rPr>
      <t xml:space="preserve"> =</t>
    </r>
  </si>
  <si>
    <r>
      <t>w</t>
    </r>
    <r>
      <rPr>
        <vertAlign val="subscript"/>
        <sz val="10"/>
        <rFont val="Arial"/>
        <family val="2"/>
      </rPr>
      <t xml:space="preserve">by </t>
    </r>
    <r>
      <rPr>
        <sz val="10"/>
        <rFont val="Arial"/>
        <family val="2"/>
      </rPr>
      <t>=</t>
    </r>
  </si>
  <si>
    <r>
      <t>w</t>
    </r>
    <r>
      <rPr>
        <vertAlign val="subscript"/>
        <sz val="10"/>
        <rFont val="Arial"/>
        <family val="2"/>
      </rPr>
      <t>bx</t>
    </r>
    <r>
      <rPr>
        <sz val="10"/>
        <rFont val="Arial"/>
        <family val="2"/>
      </rPr>
      <t xml:space="preserve"> =</t>
    </r>
  </si>
  <si>
    <r>
      <t>w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</si>
  <si>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t>Q =</t>
  </si>
  <si>
    <r>
      <t>k</t>
    </r>
    <r>
      <rPr>
        <vertAlign val="subscript"/>
        <sz val="10"/>
        <rFont val="Arial"/>
        <family val="2"/>
      </rPr>
      <t xml:space="preserve">x </t>
    </r>
    <r>
      <rPr>
        <sz val="10"/>
        <rFont val="Arial"/>
        <family val="2"/>
      </rPr>
      <t>=</t>
    </r>
  </si>
  <si>
    <r>
      <t>2H / (L</t>
    </r>
    <r>
      <rPr>
        <i/>
        <vertAlign val="subscript"/>
        <sz val="10"/>
        <rFont val="Arial"/>
        <family val="2"/>
      </rPr>
      <t>x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*L</t>
    </r>
    <r>
      <rPr>
        <i/>
        <vertAlign val="subscript"/>
        <sz val="10"/>
        <rFont val="Arial"/>
        <family val="2"/>
      </rPr>
      <t>y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) =</t>
    </r>
  </si>
  <si>
    <r>
      <t>D</t>
    </r>
    <r>
      <rPr>
        <i/>
        <vertAlign val="subscript"/>
        <sz val="10"/>
        <rFont val="Arial"/>
        <family val="2"/>
      </rPr>
      <t xml:space="preserve">x </t>
    </r>
    <r>
      <rPr>
        <i/>
        <sz val="10"/>
        <rFont val="Arial"/>
        <family val="2"/>
      </rPr>
      <t>/ L</t>
    </r>
    <r>
      <rPr>
        <i/>
        <vertAlign val="subscript"/>
        <sz val="10"/>
        <rFont val="Arial"/>
        <family val="2"/>
      </rPr>
      <t>x</t>
    </r>
    <r>
      <rPr>
        <i/>
        <vertAlign val="superscript"/>
        <sz val="10"/>
        <rFont val="Arial"/>
        <family val="2"/>
      </rPr>
      <t xml:space="preserve">4 </t>
    </r>
    <r>
      <rPr>
        <i/>
        <sz val="10"/>
        <rFont val="Arial"/>
        <family val="2"/>
      </rPr>
      <t>=</t>
    </r>
  </si>
  <si>
    <r>
      <t>D</t>
    </r>
    <r>
      <rPr>
        <i/>
        <vertAlign val="subscript"/>
        <sz val="10"/>
        <rFont val="Arial"/>
        <family val="2"/>
      </rPr>
      <t xml:space="preserve">y </t>
    </r>
    <r>
      <rPr>
        <i/>
        <sz val="10"/>
        <rFont val="Arial"/>
        <family val="2"/>
      </rPr>
      <t>/ L</t>
    </r>
    <r>
      <rPr>
        <i/>
        <vertAlign val="subscript"/>
        <sz val="10"/>
        <rFont val="Arial"/>
        <family val="2"/>
      </rPr>
      <t>y</t>
    </r>
    <r>
      <rPr>
        <i/>
        <vertAlign val="superscript"/>
        <sz val="10"/>
        <rFont val="Arial"/>
        <family val="2"/>
      </rPr>
      <t xml:space="preserve">4 </t>
    </r>
    <r>
      <rPr>
        <i/>
        <sz val="10"/>
        <rFont val="Arial"/>
        <family val="2"/>
      </rPr>
      <t>=</t>
    </r>
  </si>
  <si>
    <r>
      <t>Lt</t>
    </r>
    <r>
      <rPr>
        <vertAlign val="subscript"/>
        <sz val="10"/>
        <rFont val="Arial"/>
        <family val="2"/>
      </rPr>
      <t xml:space="preserve">defl. </t>
    </r>
    <r>
      <rPr>
        <sz val="10"/>
        <rFont val="Arial"/>
        <family val="2"/>
      </rPr>
      <t>=</t>
    </r>
  </si>
  <si>
    <t>s/d =</t>
  </si>
  <si>
    <t>Depth of beam</t>
  </si>
  <si>
    <t>Width of flange</t>
  </si>
  <si>
    <t>Grade of Concrete</t>
  </si>
  <si>
    <t>Grade of Steel</t>
  </si>
  <si>
    <t>Spacing of ribs</t>
  </si>
  <si>
    <t>Width of beam</t>
  </si>
  <si>
    <t>Modulas of Elasticity</t>
  </si>
  <si>
    <t>Thickness of flange</t>
  </si>
  <si>
    <t>span/deflection</t>
  </si>
  <si>
    <t xml:space="preserve"> (Clause 23.2 IS 456)</t>
  </si>
  <si>
    <t>Deflection Check</t>
  </si>
  <si>
    <t>Moments (KNm)</t>
  </si>
  <si>
    <t>Shear (KN)</t>
  </si>
  <si>
    <t>Location (meters)</t>
  </si>
  <si>
    <r>
      <t>M</t>
    </r>
    <r>
      <rPr>
        <i/>
        <vertAlign val="subscript"/>
        <sz val="10"/>
        <rFont val="Arial"/>
        <family val="2"/>
      </rPr>
      <t>x</t>
    </r>
    <r>
      <rPr>
        <i/>
        <sz val="10"/>
        <rFont val="Arial"/>
        <family val="2"/>
      </rPr>
      <t>=D</t>
    </r>
    <r>
      <rPr>
        <i/>
        <vertAlign val="subscript"/>
        <sz val="10"/>
        <rFont val="Arial"/>
        <family val="2"/>
      </rPr>
      <t>x</t>
    </r>
    <r>
      <rPr>
        <i/>
        <sz val="10"/>
        <rFont val="Arial"/>
        <family val="2"/>
      </rPr>
      <t>*(</t>
    </r>
    <r>
      <rPr>
        <i/>
        <sz val="12"/>
        <rFont val="Arial"/>
        <family val="2"/>
      </rPr>
      <t>π</t>
    </r>
    <r>
      <rPr>
        <i/>
        <sz val="10"/>
        <rFont val="Arial"/>
        <family val="2"/>
      </rPr>
      <t>/L</t>
    </r>
    <r>
      <rPr>
        <i/>
        <vertAlign val="subscript"/>
        <sz val="10"/>
        <rFont val="Arial"/>
        <family val="2"/>
      </rPr>
      <t>x</t>
    </r>
    <r>
      <rPr>
        <i/>
        <sz val="10"/>
        <rFont val="Arial"/>
        <family val="2"/>
      </rPr>
      <t>)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*</t>
    </r>
    <r>
      <rPr>
        <i/>
        <sz val="12"/>
        <rFont val="Arial"/>
        <family val="2"/>
      </rPr>
      <t>ω</t>
    </r>
  </si>
  <si>
    <r>
      <t>M</t>
    </r>
    <r>
      <rPr>
        <i/>
        <vertAlign val="subscript"/>
        <sz val="10"/>
        <rFont val="Arial"/>
        <family val="2"/>
      </rPr>
      <t>y</t>
    </r>
    <r>
      <rPr>
        <i/>
        <sz val="10"/>
        <rFont val="Arial"/>
        <family val="2"/>
      </rPr>
      <t>=D</t>
    </r>
    <r>
      <rPr>
        <i/>
        <vertAlign val="subscript"/>
        <sz val="10"/>
        <rFont val="Arial"/>
        <family val="2"/>
      </rPr>
      <t>y</t>
    </r>
    <r>
      <rPr>
        <i/>
        <sz val="10"/>
        <rFont val="Arial"/>
        <family val="2"/>
      </rPr>
      <t>*(</t>
    </r>
    <r>
      <rPr>
        <i/>
        <sz val="12"/>
        <rFont val="Arial"/>
        <family val="2"/>
      </rPr>
      <t>π</t>
    </r>
    <r>
      <rPr>
        <i/>
        <sz val="10"/>
        <rFont val="Arial"/>
        <family val="2"/>
      </rPr>
      <t>/L</t>
    </r>
    <r>
      <rPr>
        <i/>
        <vertAlign val="subscript"/>
        <sz val="10"/>
        <rFont val="Arial"/>
        <family val="2"/>
      </rPr>
      <t>y</t>
    </r>
    <r>
      <rPr>
        <i/>
        <sz val="10"/>
        <rFont val="Arial"/>
        <family val="2"/>
      </rPr>
      <t>)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*</t>
    </r>
    <r>
      <rPr>
        <i/>
        <sz val="12"/>
        <rFont val="Arial"/>
        <family val="2"/>
      </rPr>
      <t>ω</t>
    </r>
  </si>
  <si>
    <r>
      <t>M</t>
    </r>
    <r>
      <rPr>
        <b/>
        <vertAlign val="subscript"/>
        <sz val="10"/>
        <rFont val="Arial"/>
        <family val="2"/>
      </rPr>
      <t>x</t>
    </r>
  </si>
  <si>
    <r>
      <t>M</t>
    </r>
    <r>
      <rPr>
        <b/>
        <vertAlign val="subscript"/>
        <sz val="10"/>
        <rFont val="Arial"/>
        <family val="2"/>
      </rPr>
      <t>y</t>
    </r>
  </si>
  <si>
    <r>
      <t>M</t>
    </r>
    <r>
      <rPr>
        <b/>
        <vertAlign val="subscript"/>
        <sz val="10"/>
        <rFont val="Arial"/>
        <family val="2"/>
      </rPr>
      <t>xy</t>
    </r>
  </si>
  <si>
    <r>
      <t>Q</t>
    </r>
    <r>
      <rPr>
        <b/>
        <vertAlign val="subscript"/>
        <sz val="10"/>
        <rFont val="Arial"/>
        <family val="2"/>
      </rPr>
      <t>x</t>
    </r>
  </si>
  <si>
    <r>
      <t>Q</t>
    </r>
    <r>
      <rPr>
        <b/>
        <vertAlign val="subscript"/>
        <sz val="10"/>
        <rFont val="Arial"/>
        <family val="2"/>
      </rPr>
      <t>y</t>
    </r>
  </si>
  <si>
    <t>Maximum Moment &amp; Shear Values</t>
  </si>
  <si>
    <r>
      <t>C</t>
    </r>
    <r>
      <rPr>
        <i/>
        <vertAlign val="subscript"/>
        <sz val="10"/>
        <rFont val="Arial"/>
        <family val="2"/>
      </rPr>
      <t>1</t>
    </r>
    <r>
      <rPr>
        <i/>
        <sz val="10"/>
        <rFont val="Arial"/>
        <family val="2"/>
      </rPr>
      <t>=(1-(0.63*(b</t>
    </r>
    <r>
      <rPr>
        <i/>
        <vertAlign val="subscript"/>
        <sz val="10"/>
        <rFont val="Arial"/>
        <family val="2"/>
      </rPr>
      <t>w</t>
    </r>
    <r>
      <rPr>
        <i/>
        <sz val="10"/>
        <rFont val="Arial"/>
        <family val="2"/>
      </rPr>
      <t>/D))*(b</t>
    </r>
    <r>
      <rPr>
        <i/>
        <vertAlign val="subscript"/>
        <sz val="10"/>
        <rFont val="Arial"/>
        <family val="2"/>
      </rPr>
      <t>w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*D/3)</t>
    </r>
  </si>
  <si>
    <r>
      <t>C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>=(1-(0.63*(b</t>
    </r>
    <r>
      <rPr>
        <i/>
        <vertAlign val="subscript"/>
        <sz val="10"/>
        <rFont val="Arial"/>
        <family val="2"/>
      </rPr>
      <t>w</t>
    </r>
    <r>
      <rPr>
        <i/>
        <sz val="10"/>
        <rFont val="Arial"/>
        <family val="2"/>
      </rPr>
      <t>/D))*(D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*b</t>
    </r>
    <r>
      <rPr>
        <i/>
        <vertAlign val="subscript"/>
        <sz val="10"/>
        <rFont val="Arial"/>
        <family val="2"/>
      </rPr>
      <t>w</t>
    </r>
    <r>
      <rPr>
        <i/>
        <sz val="10"/>
        <rFont val="Arial"/>
        <family val="2"/>
      </rPr>
      <t>/3)</t>
    </r>
  </si>
  <si>
    <r>
      <t>D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=</t>
    </r>
  </si>
  <si>
    <r>
      <t>b</t>
    </r>
    <r>
      <rPr>
        <vertAlign val="subscript"/>
        <sz val="10"/>
        <rFont val="Arial"/>
        <family val="2"/>
      </rPr>
      <t xml:space="preserve">w </t>
    </r>
    <r>
      <rPr>
        <sz val="10"/>
        <rFont val="Arial"/>
        <family val="2"/>
      </rPr>
      <t>=</t>
    </r>
  </si>
  <si>
    <r>
      <t>b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=</t>
    </r>
  </si>
  <si>
    <r>
      <t>I</t>
    </r>
    <r>
      <rPr>
        <i/>
        <sz val="10"/>
        <rFont val="Arial"/>
        <family val="2"/>
      </rPr>
      <t xml:space="preserve"> = (k</t>
    </r>
    <r>
      <rPr>
        <i/>
        <vertAlign val="subscript"/>
        <sz val="10"/>
        <rFont val="Arial"/>
        <family val="2"/>
      </rPr>
      <t>x</t>
    </r>
    <r>
      <rPr>
        <i/>
        <sz val="10"/>
        <rFont val="Arial"/>
        <family val="2"/>
      </rPr>
      <t>*b</t>
    </r>
    <r>
      <rPr>
        <i/>
        <vertAlign val="subscript"/>
        <sz val="10"/>
        <rFont val="Arial"/>
        <family val="2"/>
      </rPr>
      <t>w</t>
    </r>
    <r>
      <rPr>
        <i/>
        <sz val="10"/>
        <rFont val="Arial"/>
        <family val="2"/>
      </rPr>
      <t>*D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)/12</t>
    </r>
  </si>
  <si>
    <r>
      <t>Lt</t>
    </r>
    <r>
      <rPr>
        <i/>
        <vertAlign val="subscript"/>
        <sz val="10"/>
        <rFont val="Arial"/>
        <family val="2"/>
      </rPr>
      <t>defl</t>
    </r>
    <r>
      <rPr>
        <i/>
        <sz val="10"/>
        <rFont val="Arial"/>
        <family val="2"/>
      </rPr>
      <t>. = 3*</t>
    </r>
    <r>
      <rPr>
        <i/>
        <sz val="12"/>
        <rFont val="Arial"/>
        <family val="2"/>
      </rPr>
      <t>ω</t>
    </r>
  </si>
  <si>
    <t>Values of Moments and Shear force at different locations</t>
  </si>
  <si>
    <t>refer Chart 88 of SP 16 pg 215</t>
  </si>
  <si>
    <r>
      <t>Q</t>
    </r>
    <r>
      <rPr>
        <i/>
        <vertAlign val="subscript"/>
        <sz val="8"/>
        <rFont val="Arial"/>
        <family val="2"/>
      </rPr>
      <t>x</t>
    </r>
    <r>
      <rPr>
        <i/>
        <sz val="8"/>
        <rFont val="Arial"/>
        <family val="2"/>
      </rPr>
      <t>=[(D</t>
    </r>
    <r>
      <rPr>
        <i/>
        <vertAlign val="subscript"/>
        <sz val="8"/>
        <rFont val="Arial"/>
        <family val="2"/>
      </rPr>
      <t>x</t>
    </r>
    <r>
      <rPr>
        <i/>
        <sz val="8"/>
        <rFont val="Arial"/>
        <family val="2"/>
      </rPr>
      <t>*(π/L</t>
    </r>
    <r>
      <rPr>
        <i/>
        <vertAlign val="subscript"/>
        <sz val="8"/>
        <rFont val="Arial"/>
        <family val="2"/>
      </rPr>
      <t>x</t>
    </r>
    <r>
      <rPr>
        <i/>
        <sz val="8"/>
        <rFont val="Arial"/>
        <family val="2"/>
      </rPr>
      <t>)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>)+(C</t>
    </r>
    <r>
      <rPr>
        <i/>
        <vertAlign val="subscript"/>
        <sz val="8"/>
        <rFont val="Arial"/>
        <family val="2"/>
      </rPr>
      <t>y</t>
    </r>
    <r>
      <rPr>
        <i/>
        <sz val="8"/>
        <rFont val="Arial"/>
        <family val="2"/>
      </rPr>
      <t>*(π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>/(a*b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)))]*ω</t>
    </r>
  </si>
  <si>
    <r>
      <t>Q</t>
    </r>
    <r>
      <rPr>
        <i/>
        <vertAlign val="subscript"/>
        <sz val="8"/>
        <rFont val="Arial"/>
        <family val="2"/>
      </rPr>
      <t>y</t>
    </r>
    <r>
      <rPr>
        <i/>
        <sz val="8"/>
        <rFont val="Arial"/>
        <family val="2"/>
      </rPr>
      <t>=[(D</t>
    </r>
    <r>
      <rPr>
        <i/>
        <vertAlign val="subscript"/>
        <sz val="8"/>
        <rFont val="Arial"/>
        <family val="2"/>
      </rPr>
      <t>y</t>
    </r>
    <r>
      <rPr>
        <i/>
        <sz val="8"/>
        <rFont val="Arial"/>
        <family val="2"/>
      </rPr>
      <t>*(π/L</t>
    </r>
    <r>
      <rPr>
        <i/>
        <vertAlign val="subscript"/>
        <sz val="8"/>
        <rFont val="Arial"/>
        <family val="2"/>
      </rPr>
      <t>y</t>
    </r>
    <r>
      <rPr>
        <i/>
        <sz val="8"/>
        <rFont val="Arial"/>
        <family val="2"/>
      </rPr>
      <t>)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>)+(C</t>
    </r>
    <r>
      <rPr>
        <i/>
        <vertAlign val="subscript"/>
        <sz val="8"/>
        <rFont val="Arial"/>
        <family val="2"/>
      </rPr>
      <t>x</t>
    </r>
    <r>
      <rPr>
        <i/>
        <sz val="8"/>
        <rFont val="Arial"/>
        <family val="2"/>
      </rPr>
      <t>*(π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>/(b*a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)))]*ω</t>
    </r>
  </si>
  <si>
    <r>
      <t>ω</t>
    </r>
    <r>
      <rPr>
        <i/>
        <sz val="10"/>
        <rFont val="Arial"/>
        <family val="2"/>
      </rPr>
      <t>=(16*Q/</t>
    </r>
    <r>
      <rPr>
        <i/>
        <sz val="12"/>
        <rFont val="Arial"/>
        <family val="2"/>
      </rPr>
      <t>π</t>
    </r>
    <r>
      <rPr>
        <i/>
        <sz val="10"/>
        <rFont val="Arial"/>
        <family val="2"/>
      </rPr>
      <t>)/((D</t>
    </r>
    <r>
      <rPr>
        <i/>
        <vertAlign val="subscript"/>
        <sz val="10"/>
        <rFont val="Arial"/>
        <family val="2"/>
      </rPr>
      <t>x</t>
    </r>
    <r>
      <rPr>
        <i/>
        <sz val="10"/>
        <rFont val="Arial"/>
        <family val="2"/>
      </rPr>
      <t>/L</t>
    </r>
    <r>
      <rPr>
        <i/>
        <vertAlign val="subscript"/>
        <sz val="10"/>
        <rFont val="Arial"/>
        <family val="2"/>
      </rPr>
      <t>x</t>
    </r>
    <r>
      <rPr>
        <i/>
        <vertAlign val="superscript"/>
        <sz val="10"/>
        <rFont val="Arial"/>
        <family val="2"/>
      </rPr>
      <t>4</t>
    </r>
    <r>
      <rPr>
        <i/>
        <sz val="10"/>
        <rFont val="Arial"/>
        <family val="2"/>
      </rPr>
      <t>)+(2H/(L</t>
    </r>
    <r>
      <rPr>
        <i/>
        <vertAlign val="subscript"/>
        <sz val="10"/>
        <rFont val="Arial"/>
        <family val="2"/>
      </rPr>
      <t>x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*L</t>
    </r>
    <r>
      <rPr>
        <i/>
        <vertAlign val="subscript"/>
        <sz val="10"/>
        <rFont val="Arial"/>
        <family val="2"/>
      </rPr>
      <t>y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))+(Dy/Ly</t>
    </r>
    <r>
      <rPr>
        <i/>
        <vertAlign val="superscript"/>
        <sz val="10"/>
        <rFont val="Arial"/>
        <family val="2"/>
      </rPr>
      <t>4</t>
    </r>
    <r>
      <rPr>
        <i/>
        <sz val="10"/>
        <rFont val="Arial"/>
        <family val="2"/>
      </rPr>
      <t>))</t>
    </r>
  </si>
  <si>
    <r>
      <t>b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/b</t>
    </r>
    <r>
      <rPr>
        <vertAlign val="subscript"/>
        <sz val="10"/>
        <rFont val="Arial"/>
        <family val="2"/>
      </rPr>
      <t xml:space="preserve">w </t>
    </r>
    <r>
      <rPr>
        <sz val="10"/>
        <rFont val="Arial"/>
        <family val="2"/>
      </rPr>
      <t>=</t>
    </r>
  </si>
  <si>
    <t>Grid Floor Analysis &amp; Design</t>
  </si>
  <si>
    <r>
      <t>D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/D</t>
    </r>
    <r>
      <rPr>
        <sz val="10"/>
        <rFont val="Arial"/>
        <family val="2"/>
      </rPr>
      <t xml:space="preserve"> =</t>
    </r>
  </si>
  <si>
    <t>Total Factored Load/sqm</t>
  </si>
  <si>
    <t>q =</t>
  </si>
  <si>
    <t>Mark</t>
  </si>
  <si>
    <r>
      <t xml:space="preserve">ω </t>
    </r>
    <r>
      <rPr>
        <b/>
        <sz val="10"/>
        <rFont val="Arial"/>
        <family val="2"/>
      </rPr>
      <t>=</t>
    </r>
  </si>
  <si>
    <t>My</t>
  </si>
  <si>
    <t>x bar</t>
  </si>
  <si>
    <t>y bar</t>
  </si>
  <si>
    <t>Nup</t>
  </si>
  <si>
    <t>Design Load</t>
  </si>
  <si>
    <t>Seismic Intensity</t>
  </si>
  <si>
    <t>Seismic Zone</t>
  </si>
  <si>
    <t>z</t>
  </si>
  <si>
    <t>Importance factor</t>
  </si>
  <si>
    <t>I</t>
  </si>
  <si>
    <t>Table 2 IS 1893 2002 pg 16</t>
  </si>
  <si>
    <t>Table 7 IS 1893 2002 pg 23</t>
  </si>
  <si>
    <t>Table 6 IS 1893 2002 pg 18</t>
  </si>
  <si>
    <t>Response Reduction Factor</t>
  </si>
  <si>
    <t>R</t>
  </si>
  <si>
    <t>Fundamental Natural Period</t>
  </si>
  <si>
    <r>
      <t>T</t>
    </r>
    <r>
      <rPr>
        <vertAlign val="subscript"/>
        <sz val="10"/>
        <rFont val="Arial"/>
        <family val="2"/>
      </rPr>
      <t>a</t>
    </r>
  </si>
  <si>
    <t>Lateral Dimension of Building</t>
  </si>
  <si>
    <t>Height of the of Building</t>
  </si>
  <si>
    <t>h</t>
  </si>
  <si>
    <t>Spectral Acceleration Coefficient</t>
  </si>
  <si>
    <r>
      <t>S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/g</t>
    </r>
  </si>
  <si>
    <t>Type of Soil</t>
  </si>
  <si>
    <t>Medium Soil</t>
  </si>
  <si>
    <t>Design Horizontal Seismic Coefficient</t>
  </si>
  <si>
    <r>
      <t>A</t>
    </r>
    <r>
      <rPr>
        <vertAlign val="subscript"/>
        <sz val="10"/>
        <rFont val="Arial"/>
        <family val="2"/>
      </rPr>
      <t>h</t>
    </r>
  </si>
  <si>
    <t>Design Seismic Base Shear</t>
  </si>
  <si>
    <r>
      <t>V</t>
    </r>
    <r>
      <rPr>
        <vertAlign val="subscript"/>
        <sz val="10"/>
        <rFont val="Arial"/>
        <family val="2"/>
      </rPr>
      <t>B</t>
    </r>
  </si>
  <si>
    <t>Seismic Weight of Building</t>
  </si>
  <si>
    <t>W</t>
  </si>
  <si>
    <t>meters</t>
  </si>
  <si>
    <t>Provded Main Steel:</t>
  </si>
  <si>
    <t>Provided Distridution Steel:</t>
  </si>
  <si>
    <t>with brick infill</t>
  </si>
  <si>
    <t>Grid No</t>
  </si>
  <si>
    <t>Col type</t>
  </si>
  <si>
    <t>Design Constants</t>
  </si>
  <si>
    <t>Design Paramenters</t>
  </si>
  <si>
    <t>Type 1</t>
  </si>
  <si>
    <t>Type 2</t>
  </si>
  <si>
    <t>Total Reinf Provided</t>
  </si>
  <si>
    <t>Check</t>
  </si>
  <si>
    <t>Mux</t>
  </si>
  <si>
    <t>Muy</t>
  </si>
  <si>
    <t>y dir</t>
  </si>
  <si>
    <t>Sl No.</t>
  </si>
  <si>
    <t>Col Nos.</t>
  </si>
  <si>
    <t>Col Shape</t>
  </si>
  <si>
    <t>Ast Req</t>
  </si>
  <si>
    <t>Remark</t>
  </si>
  <si>
    <t>Final Ast Required</t>
  </si>
  <si>
    <t xml:space="preserve">Area of Steel </t>
  </si>
  <si>
    <r>
      <t>Pu/(fckbd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)</t>
    </r>
  </si>
  <si>
    <r>
      <t>Mu/(fckbd</t>
    </r>
    <r>
      <rPr>
        <vertAlign val="subscript"/>
        <sz val="10"/>
        <rFont val="Arial"/>
        <family val="2"/>
      </rPr>
      <t>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</si>
  <si>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ly</t>
  </si>
  <si>
    <t>lx</t>
  </si>
  <si>
    <t>Shorter Span</t>
  </si>
  <si>
    <t>Longer Span</t>
  </si>
  <si>
    <t>Slab thickness</t>
  </si>
  <si>
    <t>t</t>
  </si>
  <si>
    <t>Slab type</t>
  </si>
  <si>
    <t>Thickness Check</t>
  </si>
  <si>
    <t>%</t>
  </si>
  <si>
    <r>
      <t>mm</t>
    </r>
    <r>
      <rPr>
        <vertAlign val="superscript"/>
        <sz val="10"/>
        <rFont val="Arial"/>
        <family val="2"/>
      </rPr>
      <t>2</t>
    </r>
  </si>
  <si>
    <t>lower value</t>
  </si>
  <si>
    <t>upper value</t>
  </si>
  <si>
    <t>exact value</t>
  </si>
  <si>
    <t>intpt. value</t>
  </si>
  <si>
    <t>KN/m</t>
  </si>
  <si>
    <t>Loading on edges</t>
  </si>
  <si>
    <r>
      <t>8</t>
    </r>
    <r>
      <rPr>
        <sz val="12"/>
        <rFont val="Arial"/>
        <family val="2"/>
      </rPr>
      <t>#</t>
    </r>
  </si>
  <si>
    <r>
      <t>10</t>
    </r>
    <r>
      <rPr>
        <sz val="12"/>
        <rFont val="Arial"/>
        <family val="2"/>
      </rPr>
      <t>#</t>
    </r>
  </si>
  <si>
    <r>
      <t>12</t>
    </r>
    <r>
      <rPr>
        <sz val="12"/>
        <rFont val="Arial"/>
        <family val="2"/>
      </rPr>
      <t>#</t>
    </r>
  </si>
  <si>
    <r>
      <t>16</t>
    </r>
    <r>
      <rPr>
        <sz val="12"/>
        <rFont val="Arial"/>
        <family val="2"/>
      </rPr>
      <t>#</t>
    </r>
  </si>
  <si>
    <t>Design &amp; Reinforcement Details of Slabs</t>
  </si>
  <si>
    <t>Col Dim</t>
  </si>
  <si>
    <t>x dir</t>
  </si>
  <si>
    <t>Design the beam from the BEAM DESIGN SHEET</t>
  </si>
  <si>
    <t>20#</t>
  </si>
  <si>
    <t>Moment in x dir</t>
  </si>
  <si>
    <t>Moment in y dir</t>
  </si>
  <si>
    <t>Column size</t>
  </si>
  <si>
    <t>SBC</t>
  </si>
  <si>
    <t>L</t>
  </si>
  <si>
    <t>B</t>
  </si>
  <si>
    <t>Net upward pressure</t>
  </si>
  <si>
    <t>Zx</t>
  </si>
  <si>
    <t>Bending Moment in x dir</t>
  </si>
  <si>
    <t>Bending Moment in y dir</t>
  </si>
  <si>
    <t>Rumax</t>
  </si>
  <si>
    <t>Minimum Depth Required</t>
  </si>
  <si>
    <t>dmin</t>
  </si>
  <si>
    <t>Depth Provided</t>
  </si>
  <si>
    <t>Vu1</t>
  </si>
  <si>
    <t>P</t>
  </si>
  <si>
    <t>Two Way Shear</t>
  </si>
  <si>
    <t>Vu2</t>
  </si>
  <si>
    <t>Vc1</t>
  </si>
  <si>
    <t>ks trial</t>
  </si>
  <si>
    <t xml:space="preserve">ks </t>
  </si>
  <si>
    <t>ζc</t>
  </si>
  <si>
    <t>ζv</t>
  </si>
  <si>
    <t>ks*ζc</t>
  </si>
  <si>
    <t>Footing Size Design</t>
  </si>
  <si>
    <t>D</t>
  </si>
  <si>
    <t>Effective Cover</t>
  </si>
  <si>
    <t>Effective Depth</t>
  </si>
  <si>
    <t>Footing Size Provided</t>
  </si>
  <si>
    <t>Area Provided</t>
  </si>
  <si>
    <t>A prvd</t>
  </si>
  <si>
    <t>A req</t>
  </si>
  <si>
    <t>Footing Size required</t>
  </si>
  <si>
    <t>q</t>
  </si>
  <si>
    <t xml:space="preserve">Spacing c/c in mm </t>
  </si>
  <si>
    <t>One Way Shear along x direction</t>
  </si>
  <si>
    <t>One Way Shear along y direction</t>
  </si>
  <si>
    <t>L=</t>
  </si>
  <si>
    <t>B=</t>
  </si>
  <si>
    <t>Pu1</t>
  </si>
  <si>
    <t>Pu2</t>
  </si>
  <si>
    <t>Pcu</t>
  </si>
  <si>
    <t>Pc</t>
  </si>
  <si>
    <t>Load 1</t>
  </si>
  <si>
    <t>Load 2</t>
  </si>
  <si>
    <t>Combine load</t>
  </si>
  <si>
    <t>c/c dist b/w col in x dir</t>
  </si>
  <si>
    <t>Beam Size</t>
  </si>
  <si>
    <t>Mb</t>
  </si>
  <si>
    <r>
      <t>M=Nup*l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/2</t>
    </r>
  </si>
  <si>
    <t>/=width of footing from col face</t>
  </si>
  <si>
    <t>Mus</t>
  </si>
  <si>
    <t>Ms</t>
  </si>
  <si>
    <t>1.5*Ms</t>
  </si>
  <si>
    <t>Ast across x direction</t>
  </si>
  <si>
    <t>Ast across y direction</t>
  </si>
  <si>
    <t>Area of Steel across x dir</t>
  </si>
  <si>
    <t>Dist Ast across y direction</t>
  </si>
  <si>
    <t>d=sqrt(Ms/Rumax*1000*b)</t>
  </si>
  <si>
    <t>Factored Moment</t>
  </si>
  <si>
    <t>Shear Check for Slab</t>
  </si>
  <si>
    <t>Wu</t>
  </si>
  <si>
    <t>Percentage of Steel</t>
  </si>
  <si>
    <t>Bottom Reinforcement</t>
  </si>
  <si>
    <t>Top Reinforcement</t>
  </si>
  <si>
    <t>C</t>
  </si>
  <si>
    <t>r =</t>
  </si>
  <si>
    <t>Dimensions of Dome</t>
  </si>
  <si>
    <t>Height</t>
  </si>
  <si>
    <t>h =</t>
  </si>
  <si>
    <t>t =</t>
  </si>
  <si>
    <t>Thickness</t>
  </si>
  <si>
    <t>Radius of Sphere</t>
  </si>
  <si>
    <t>Diameter</t>
  </si>
  <si>
    <t>d =</t>
  </si>
  <si>
    <t>Φ =</t>
  </si>
  <si>
    <t>Ѳ =</t>
  </si>
  <si>
    <t>Dead Load</t>
  </si>
  <si>
    <t>DL =</t>
  </si>
  <si>
    <t>Wind Load</t>
  </si>
  <si>
    <t>LL =</t>
  </si>
  <si>
    <t>WL =</t>
  </si>
  <si>
    <t>Wu =</t>
  </si>
  <si>
    <t>W =</t>
  </si>
  <si>
    <t>Meridional Stress</t>
  </si>
  <si>
    <t>Ѳ</t>
  </si>
  <si>
    <t xml:space="preserve">Mt </t>
  </si>
  <si>
    <t>Maximum Meridional Stress</t>
  </si>
  <si>
    <t>DL</t>
  </si>
  <si>
    <t>LL</t>
  </si>
  <si>
    <t>WL</t>
  </si>
  <si>
    <t>Sunken Depth</t>
  </si>
  <si>
    <t>Filler Load</t>
  </si>
  <si>
    <t>FL</t>
  </si>
  <si>
    <t>Wsu</t>
  </si>
  <si>
    <t>Ws</t>
  </si>
  <si>
    <t>Wsk</t>
  </si>
  <si>
    <t>Wsku</t>
  </si>
  <si>
    <t>Sunken Slab Load</t>
  </si>
  <si>
    <t>Slab Load</t>
  </si>
  <si>
    <t>Wsu / Wsku</t>
  </si>
  <si>
    <t xml:space="preserve">Spacing required in mm </t>
  </si>
  <si>
    <r>
      <t>W</t>
    </r>
    <r>
      <rPr>
        <vertAlign val="subscript"/>
        <sz val="10"/>
        <rFont val="Arial"/>
        <family val="2"/>
      </rPr>
      <t>longer</t>
    </r>
  </si>
  <si>
    <r>
      <t>W</t>
    </r>
    <r>
      <rPr>
        <vertAlign val="subscript"/>
        <sz val="10"/>
        <rFont val="Arial"/>
        <family val="2"/>
      </rPr>
      <t>shorter</t>
    </r>
  </si>
  <si>
    <t>Spacing provided in mm c/c</t>
  </si>
  <si>
    <t>Hoop Stress</t>
  </si>
  <si>
    <t>Maximum Hoop Stress</t>
  </si>
  <si>
    <r>
      <rPr>
        <sz val="10"/>
        <rFont val="Calibri"/>
        <family val="2"/>
      </rPr>
      <t>б</t>
    </r>
    <r>
      <rPr>
        <sz val="10"/>
        <rFont val="Arial"/>
        <family val="2"/>
      </rPr>
      <t>cbc</t>
    </r>
  </si>
  <si>
    <r>
      <rPr>
        <sz val="10"/>
        <rFont val="Calibri"/>
        <family val="2"/>
      </rPr>
      <t>б</t>
    </r>
    <r>
      <rPr>
        <sz val="10"/>
        <rFont val="Arial"/>
        <family val="2"/>
      </rPr>
      <t>st</t>
    </r>
  </si>
  <si>
    <t>Permissible stresses in comp</t>
  </si>
  <si>
    <r>
      <rPr>
        <sz val="10"/>
        <rFont val="Calibri"/>
        <family val="2"/>
      </rPr>
      <t>б</t>
    </r>
    <r>
      <rPr>
        <sz val="10"/>
        <rFont val="Arial"/>
        <family val="2"/>
      </rPr>
      <t>cc</t>
    </r>
  </si>
  <si>
    <t>bending</t>
  </si>
  <si>
    <t>direct</t>
  </si>
  <si>
    <t>M10</t>
  </si>
  <si>
    <t>M20</t>
  </si>
  <si>
    <t>M30</t>
  </si>
  <si>
    <t>M40</t>
  </si>
  <si>
    <t>M50</t>
  </si>
  <si>
    <t>M15</t>
  </si>
  <si>
    <t>M25</t>
  </si>
  <si>
    <t>M35</t>
  </si>
  <si>
    <t>M45</t>
  </si>
  <si>
    <t>Permissible stresses in tension</t>
  </si>
  <si>
    <t>ζbd</t>
  </si>
  <si>
    <t>Plain Bars</t>
  </si>
  <si>
    <t>Fy</t>
  </si>
  <si>
    <t>Area of steel</t>
  </si>
  <si>
    <t>Bar Dia</t>
  </si>
  <si>
    <t>Hoop Tension on Ring Beam</t>
  </si>
  <si>
    <t>Horizontal Component on Ring Beam</t>
  </si>
  <si>
    <t>No of Bars</t>
  </si>
  <si>
    <t>Vertical Reaction</t>
  </si>
  <si>
    <t>VA = VB =</t>
  </si>
  <si>
    <t>Horizontal Reaction</t>
  </si>
  <si>
    <t>HA = HB =</t>
  </si>
  <si>
    <t>Radial Shear</t>
  </si>
  <si>
    <t>Normal Thrust</t>
  </si>
  <si>
    <t>Max Values</t>
  </si>
  <si>
    <t>Other Load</t>
  </si>
  <si>
    <t>OL =</t>
  </si>
  <si>
    <t>Slab Name</t>
  </si>
  <si>
    <t>Sl. Id</t>
  </si>
  <si>
    <t>Dimensions of Ring Beam</t>
  </si>
  <si>
    <t>Radius</t>
  </si>
  <si>
    <t>No of supports</t>
  </si>
  <si>
    <t>n =</t>
  </si>
  <si>
    <r>
      <t>Φ</t>
    </r>
    <r>
      <rPr>
        <vertAlign val="subscript"/>
        <sz val="10"/>
        <rFont val="Calibri"/>
        <family val="2"/>
      </rPr>
      <t>m</t>
    </r>
    <r>
      <rPr>
        <sz val="10"/>
        <rFont val="Calibri"/>
        <family val="2"/>
      </rPr>
      <t xml:space="preserve"> =</t>
    </r>
  </si>
  <si>
    <t xml:space="preserve">2Ѳ </t>
  </si>
  <si>
    <t>Φm</t>
  </si>
  <si>
    <t>C2</t>
  </si>
  <si>
    <t>C1</t>
  </si>
  <si>
    <t>C3</t>
  </si>
  <si>
    <t>C3 =</t>
  </si>
  <si>
    <t>C2 =</t>
  </si>
  <si>
    <t>C1 =</t>
  </si>
  <si>
    <r>
      <t>Φ</t>
    </r>
  </si>
  <si>
    <t>deg</t>
  </si>
  <si>
    <t>KN-m</t>
  </si>
  <si>
    <r>
      <t>F</t>
    </r>
    <r>
      <rPr>
        <b/>
        <vertAlign val="subscript"/>
        <sz val="11"/>
        <rFont val="Calibri"/>
        <family val="2"/>
      </rPr>
      <t>Φ</t>
    </r>
  </si>
  <si>
    <r>
      <t>M</t>
    </r>
    <r>
      <rPr>
        <b/>
        <vertAlign val="subscript"/>
        <sz val="11"/>
        <rFont val="Calibri"/>
        <family val="2"/>
      </rPr>
      <t>Φ</t>
    </r>
  </si>
  <si>
    <r>
      <t>M</t>
    </r>
    <r>
      <rPr>
        <b/>
        <vertAlign val="subscript"/>
        <sz val="11"/>
        <rFont val="Calibri"/>
        <family val="2"/>
      </rPr>
      <t>m</t>
    </r>
    <r>
      <rPr>
        <b/>
        <vertAlign val="superscript"/>
        <sz val="11"/>
        <rFont val="Calibri"/>
        <family val="2"/>
      </rPr>
      <t>t</t>
    </r>
  </si>
  <si>
    <t>Torsional Moment</t>
  </si>
  <si>
    <t>Constants</t>
  </si>
  <si>
    <t>Equivalent Shear</t>
  </si>
  <si>
    <t>Ve = V+1.6(T/b) =</t>
  </si>
  <si>
    <t>Equivalent Moment</t>
  </si>
  <si>
    <r>
      <t>T=M</t>
    </r>
    <r>
      <rPr>
        <i/>
        <vertAlign val="subscript"/>
        <sz val="11"/>
        <rFont val="Calibri"/>
        <family val="2"/>
      </rPr>
      <t>Φ</t>
    </r>
  </si>
  <si>
    <t>Mt = T((1+D/b)/1.7) =</t>
  </si>
  <si>
    <t>Mt = BM due to torsion</t>
  </si>
  <si>
    <r>
      <t>M</t>
    </r>
    <r>
      <rPr>
        <vertAlign val="subscript"/>
        <sz val="10"/>
        <rFont val="Arial"/>
        <family val="2"/>
      </rPr>
      <t>e1</t>
    </r>
    <r>
      <rPr>
        <sz val="10"/>
        <rFont val="Arial"/>
        <family val="2"/>
      </rPr>
      <t xml:space="preserve"> = M+Mt =</t>
    </r>
  </si>
  <si>
    <r>
      <t>M</t>
    </r>
    <r>
      <rPr>
        <vertAlign val="subscript"/>
        <sz val="10"/>
        <rFont val="Arial"/>
        <family val="2"/>
      </rPr>
      <t>e2</t>
    </r>
    <r>
      <rPr>
        <sz val="10"/>
        <rFont val="Arial"/>
        <family val="2"/>
      </rPr>
      <t xml:space="preserve"> = M-Mt =</t>
    </r>
  </si>
  <si>
    <r>
      <t>M</t>
    </r>
    <r>
      <rPr>
        <i/>
        <vertAlign val="subscript"/>
        <sz val="10"/>
        <rFont val="Arial"/>
        <family val="2"/>
      </rPr>
      <t>e1</t>
    </r>
    <r>
      <rPr>
        <i/>
        <sz val="10"/>
        <rFont val="Arial"/>
        <family val="2"/>
      </rPr>
      <t xml:space="preserve"> = Equivalent BM on tension side</t>
    </r>
  </si>
  <si>
    <r>
      <t>M</t>
    </r>
    <r>
      <rPr>
        <i/>
        <vertAlign val="subscript"/>
        <sz val="10"/>
        <rFont val="Arial"/>
        <family val="2"/>
      </rPr>
      <t>e2</t>
    </r>
    <r>
      <rPr>
        <i/>
        <sz val="10"/>
        <rFont val="Arial"/>
        <family val="2"/>
      </rPr>
      <t xml:space="preserve"> = Equivalent BM on compression side</t>
    </r>
  </si>
  <si>
    <t xml:space="preserve"> Shear Force</t>
  </si>
  <si>
    <t>Meridional Thrust @ Base</t>
  </si>
  <si>
    <t>Co-efficients</t>
  </si>
  <si>
    <t>degrees</t>
  </si>
  <si>
    <t>x-dir</t>
  </si>
  <si>
    <t>Unsupported Length</t>
  </si>
  <si>
    <t>Steel</t>
  </si>
  <si>
    <t>Col Size</t>
  </si>
  <si>
    <t>y-dir</t>
  </si>
  <si>
    <t>Min Ecc</t>
  </si>
  <si>
    <t>ex</t>
  </si>
  <si>
    <t>Moment due to ecc</t>
  </si>
  <si>
    <t>A</t>
  </si>
  <si>
    <t>Effective Length Ratio</t>
  </si>
  <si>
    <t>E</t>
  </si>
  <si>
    <t>Slenderness Ratio</t>
  </si>
  <si>
    <t>le/D</t>
  </si>
  <si>
    <t>Effective Length (le)</t>
  </si>
  <si>
    <t>le/b</t>
  </si>
  <si>
    <t>Moment due to Slen</t>
  </si>
  <si>
    <t>Muax</t>
  </si>
  <si>
    <t>Muay</t>
  </si>
  <si>
    <t>k1</t>
  </si>
  <si>
    <t>d'/D</t>
  </si>
  <si>
    <t>Cir</t>
  </si>
  <si>
    <t>Reduction of Moments</t>
  </si>
  <si>
    <t>G</t>
  </si>
  <si>
    <t>Percentage assumed</t>
  </si>
  <si>
    <t>Col Type</t>
  </si>
  <si>
    <t>Rectangular Column (reinf. on 2 sides)</t>
  </si>
  <si>
    <t>Rectangular Column (reinf. on 4 sides)</t>
  </si>
  <si>
    <t>x-x</t>
  </si>
  <si>
    <t>y-y</t>
  </si>
  <si>
    <t>K2</t>
  </si>
  <si>
    <t>Pb</t>
  </si>
  <si>
    <t>Kx</t>
  </si>
  <si>
    <t>Puz</t>
  </si>
  <si>
    <t>Ky</t>
  </si>
  <si>
    <t>Additional Moments due to ecc</t>
  </si>
  <si>
    <t>Max</t>
  </si>
  <si>
    <t>May</t>
  </si>
  <si>
    <t>Top</t>
  </si>
  <si>
    <t>Bottom</t>
  </si>
  <si>
    <t>Modified Initial Moments</t>
  </si>
  <si>
    <t>Summary of Moments</t>
  </si>
  <si>
    <t>Moment due to eccentricity + Modified additional moments</t>
  </si>
  <si>
    <t>Modified initial moments + Modified additional moments</t>
  </si>
  <si>
    <t>0.4Muz + Modified additional moments</t>
  </si>
  <si>
    <t>lex</t>
  </si>
  <si>
    <t>Ley</t>
  </si>
  <si>
    <t>from IS Code</t>
  </si>
  <si>
    <t>manual Calculation</t>
  </si>
  <si>
    <t>Effective Length to be considered from</t>
  </si>
  <si>
    <t>Manual Calculation</t>
  </si>
  <si>
    <t>Final Design Loads</t>
  </si>
  <si>
    <t>Bi Axial Check for section</t>
  </si>
  <si>
    <t>Pu/fck*b*D</t>
  </si>
  <si>
    <t>Mux1/fck*b*D2</t>
  </si>
  <si>
    <t>Muy1/fck*b*D2</t>
  </si>
  <si>
    <t>Mux1</t>
  </si>
  <si>
    <t>Muy1</t>
  </si>
  <si>
    <t>Mux/Mux1</t>
  </si>
  <si>
    <t>Muy/Muy1</t>
  </si>
  <si>
    <t>Pu/Puz</t>
  </si>
  <si>
    <t>αn</t>
  </si>
  <si>
    <r>
      <t>(Mux/Mux1)</t>
    </r>
    <r>
      <rPr>
        <vertAlign val="superscript"/>
        <sz val="10"/>
        <rFont val="Arial"/>
        <family val="2"/>
      </rPr>
      <t>αn</t>
    </r>
    <r>
      <rPr>
        <sz val="10"/>
        <rFont val="Arial"/>
        <family val="2"/>
      </rPr>
      <t xml:space="preserve"> + (Muy/Muy1)</t>
    </r>
    <r>
      <rPr>
        <vertAlign val="superscript"/>
        <sz val="10"/>
        <rFont val="Arial"/>
        <family val="2"/>
      </rPr>
      <t>αn</t>
    </r>
  </si>
  <si>
    <t>% of longitudinal Reinforcement</t>
  </si>
  <si>
    <t>Steel Details</t>
  </si>
  <si>
    <t>Total Steel</t>
  </si>
  <si>
    <t>Percentage</t>
  </si>
  <si>
    <t xml:space="preserve">b = </t>
  </si>
  <si>
    <t xml:space="preserve">D = </t>
  </si>
  <si>
    <t xml:space="preserve">d' = </t>
  </si>
  <si>
    <t xml:space="preserve">d'/D = </t>
  </si>
  <si>
    <t xml:space="preserve">d'/b = </t>
  </si>
  <si>
    <t>Col Data</t>
  </si>
  <si>
    <t>Design Loads</t>
  </si>
  <si>
    <t xml:space="preserve">fck = </t>
  </si>
  <si>
    <t xml:space="preserve">fy = </t>
  </si>
  <si>
    <t xml:space="preserve">pt/fck = </t>
  </si>
  <si>
    <t xml:space="preserve">Pu/fck*b*D = </t>
  </si>
  <si>
    <t xml:space="preserve">Steel % pt = </t>
  </si>
  <si>
    <r>
      <t>Muy/fck*b*D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= </t>
    </r>
  </si>
  <si>
    <r>
      <t>Mux/fck*b*D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=   </t>
    </r>
  </si>
  <si>
    <t xml:space="preserve">Puz = </t>
  </si>
  <si>
    <r>
      <t>Mux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= </t>
    </r>
  </si>
  <si>
    <r>
      <t>Muy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2"/>
      </rPr>
      <t>=</t>
    </r>
  </si>
  <si>
    <t xml:space="preserve">Pu/Puz = </t>
  </si>
  <si>
    <r>
      <t>Mux/Mux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2"/>
      </rPr>
      <t>=</t>
    </r>
  </si>
  <si>
    <r>
      <t>Muy/Muy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2"/>
      </rPr>
      <t>=</t>
    </r>
  </si>
  <si>
    <r>
      <t>α</t>
    </r>
    <r>
      <rPr>
        <vertAlign val="subscript"/>
        <sz val="12"/>
        <rFont val="Calibri"/>
        <family val="2"/>
      </rPr>
      <t xml:space="preserve">n </t>
    </r>
    <r>
      <rPr>
        <sz val="12"/>
        <rFont val="Calibri"/>
        <family val="2"/>
      </rPr>
      <t>=</t>
    </r>
    <r>
      <rPr>
        <vertAlign val="subscript"/>
        <sz val="12"/>
        <rFont val="Calibri"/>
        <family val="2"/>
      </rPr>
      <t xml:space="preserve"> </t>
    </r>
  </si>
  <si>
    <t>Pu =</t>
  </si>
  <si>
    <t>Mux =</t>
  </si>
  <si>
    <t xml:space="preserve">Muy = </t>
  </si>
  <si>
    <r>
      <t>(Mux/Mux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)</t>
    </r>
    <r>
      <rPr>
        <b/>
        <i/>
        <vertAlign val="superscript"/>
        <sz val="10"/>
        <rFont val="Arial"/>
        <family val="2"/>
      </rPr>
      <t>αn</t>
    </r>
    <r>
      <rPr>
        <b/>
        <i/>
        <sz val="10"/>
        <rFont val="Arial"/>
        <family val="2"/>
      </rPr>
      <t xml:space="preserve"> + (Muy/Muy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)</t>
    </r>
    <r>
      <rPr>
        <b/>
        <i/>
        <vertAlign val="superscript"/>
        <sz val="10"/>
        <rFont val="Arial"/>
        <family val="2"/>
      </rPr>
      <t>αn</t>
    </r>
  </si>
  <si>
    <t>Fig</t>
  </si>
  <si>
    <t>c/c dist b/w col in y dir</t>
  </si>
  <si>
    <t>Preliminary Data</t>
  </si>
  <si>
    <t>i)</t>
  </si>
  <si>
    <t>Height of RW</t>
  </si>
  <si>
    <t>ii)</t>
  </si>
  <si>
    <t>Soil Density</t>
  </si>
  <si>
    <t>iii)</t>
  </si>
  <si>
    <t>Angle of repose</t>
  </si>
  <si>
    <t>Surcharge Angle</t>
  </si>
  <si>
    <t>Coefficient of friction</t>
  </si>
  <si>
    <t>iv)</t>
  </si>
  <si>
    <t>v)</t>
  </si>
  <si>
    <t>vi)</t>
  </si>
  <si>
    <t>vii)</t>
  </si>
  <si>
    <t>Surcharge Load</t>
  </si>
  <si>
    <t>µ</t>
  </si>
  <si>
    <t>Ө</t>
  </si>
  <si>
    <t>Ø</t>
  </si>
  <si>
    <t>Pressure Coefficients</t>
  </si>
  <si>
    <t>Ca</t>
  </si>
  <si>
    <t>Passive Pressure Coefficients</t>
  </si>
  <si>
    <t>Cp</t>
  </si>
  <si>
    <t xml:space="preserve"> = (1+SinØ) / (1+SinØ)</t>
  </si>
  <si>
    <t>Preliminary Dimensions</t>
  </si>
  <si>
    <t>Thickness of Stem</t>
  </si>
  <si>
    <r>
      <t>t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</t>
    </r>
  </si>
  <si>
    <t>Thickness of footing base slab</t>
  </si>
  <si>
    <t>Length of base slab</t>
  </si>
  <si>
    <t>or</t>
  </si>
  <si>
    <t>Stability against Overturning</t>
  </si>
  <si>
    <r>
      <t>P</t>
    </r>
    <r>
      <rPr>
        <vertAlign val="subscript"/>
        <sz val="10"/>
        <rFont val="Arial"/>
        <family val="2"/>
      </rPr>
      <t>a1</t>
    </r>
    <r>
      <rPr>
        <sz val="10"/>
        <rFont val="Arial"/>
        <family val="2"/>
      </rPr>
      <t xml:space="preserve"> = 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*W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*h</t>
    </r>
  </si>
  <si>
    <t>Total Load on stem</t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</si>
  <si>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= P</t>
    </r>
    <r>
      <rPr>
        <vertAlign val="subscript"/>
        <sz val="10"/>
        <rFont val="Arial"/>
        <family val="2"/>
      </rPr>
      <t>a1</t>
    </r>
    <r>
      <rPr>
        <sz val="10"/>
        <rFont val="Arial"/>
        <family val="2"/>
      </rPr>
      <t xml:space="preserve"> + P</t>
    </r>
    <r>
      <rPr>
        <vertAlign val="subscript"/>
        <sz val="10"/>
        <rFont val="Arial"/>
        <family val="2"/>
      </rPr>
      <t>a2</t>
    </r>
  </si>
  <si>
    <t xml:space="preserve">iv) </t>
  </si>
  <si>
    <t>Overturning Moment</t>
  </si>
  <si>
    <t>Force</t>
  </si>
  <si>
    <t>Lever arm from end of stem</t>
  </si>
  <si>
    <r>
      <t>(L-t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) / 2</t>
    </r>
  </si>
  <si>
    <r>
      <t>L /</t>
    </r>
    <r>
      <rPr>
        <sz val="10"/>
        <rFont val="Arial"/>
        <family val="2"/>
      </rPr>
      <t xml:space="preserve"> 2</t>
    </r>
  </si>
  <si>
    <t>∑W</t>
  </si>
  <si>
    <r>
      <t>∑M</t>
    </r>
    <r>
      <rPr>
        <vertAlign val="subscript"/>
        <sz val="10"/>
        <rFont val="Calibri"/>
        <family val="0"/>
      </rPr>
      <t>w</t>
    </r>
  </si>
  <si>
    <t>Distance of Resultant Vertical Force from end of heel</t>
  </si>
  <si>
    <t>Stabilizing Moment</t>
  </si>
  <si>
    <r>
      <t>Mr =∑W * (L - x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)</t>
    </r>
  </si>
  <si>
    <t xml:space="preserve">viii) </t>
  </si>
  <si>
    <t>Factor of Safety against OVERTURNING</t>
  </si>
  <si>
    <t>Stability against Sliding</t>
  </si>
  <si>
    <t>Sliding Force</t>
  </si>
  <si>
    <t>Pa*CosӨ</t>
  </si>
  <si>
    <t>Resisting Force</t>
  </si>
  <si>
    <r>
      <t xml:space="preserve">F = </t>
    </r>
    <r>
      <rPr>
        <sz val="10"/>
        <rFont val="Calibri"/>
        <family val="0"/>
      </rPr>
      <t>µ*∑W</t>
    </r>
  </si>
  <si>
    <t xml:space="preserve">iii) </t>
  </si>
  <si>
    <t>Factor of Safety against SLIDING</t>
  </si>
  <si>
    <t>Shear key Design</t>
  </si>
  <si>
    <t>Shear Key Size</t>
  </si>
  <si>
    <t xml:space="preserve">x </t>
  </si>
  <si>
    <t>Distance from stem</t>
  </si>
  <si>
    <t>Heigth of exacavation</t>
  </si>
  <si>
    <r>
      <t>h</t>
    </r>
    <r>
      <rPr>
        <vertAlign val="subscript"/>
        <sz val="10"/>
        <rFont val="Arial"/>
        <family val="2"/>
      </rPr>
      <t>1</t>
    </r>
  </si>
  <si>
    <t>Passive Pressure</t>
  </si>
  <si>
    <r>
      <t>(FS)</t>
    </r>
    <r>
      <rPr>
        <vertAlign val="subscript"/>
        <sz val="10"/>
        <rFont val="Arial"/>
        <family val="2"/>
      </rPr>
      <t xml:space="preserve">sliding </t>
    </r>
    <r>
      <rPr>
        <sz val="10"/>
        <rFont val="Arial"/>
        <family val="2"/>
      </rPr>
      <t>= 0.9 * ((F+Pp)/(Pa*CosӨ))</t>
    </r>
  </si>
  <si>
    <t>Revised Factor of Safety against SLIDING</t>
  </si>
  <si>
    <r>
      <t>q</t>
    </r>
    <r>
      <rPr>
        <vertAlign val="subscript"/>
        <sz val="10"/>
        <rFont val="Arial"/>
        <family val="2"/>
      </rPr>
      <t>o</t>
    </r>
  </si>
  <si>
    <r>
      <t>γ</t>
    </r>
    <r>
      <rPr>
        <vertAlign val="subscript"/>
        <sz val="10"/>
        <rFont val="Calibri"/>
        <family val="0"/>
      </rPr>
      <t>s</t>
    </r>
  </si>
  <si>
    <r>
      <t>W</t>
    </r>
    <r>
      <rPr>
        <vertAlign val="subscript"/>
        <sz val="10"/>
        <rFont val="Arial"/>
        <family val="2"/>
      </rPr>
      <t>s</t>
    </r>
  </si>
  <si>
    <r>
      <t>Pp = Cp*γ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*(h</t>
    </r>
    <r>
      <rPr>
        <vertAlign val="sub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-h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/ 2</t>
    </r>
  </si>
  <si>
    <t>Soil Pressures at footing base</t>
  </si>
  <si>
    <t>Resultant Vertical Reaction</t>
  </si>
  <si>
    <t>∑W = R</t>
  </si>
  <si>
    <t>Lr = (Mw+Mo)/R</t>
  </si>
  <si>
    <t>Eccentricity</t>
  </si>
  <si>
    <t>e = Lr- L/2</t>
  </si>
  <si>
    <r>
      <t>q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 R/L * (1+(6*e/L))</t>
    </r>
  </si>
  <si>
    <r>
      <t>q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= R/L * (1-(6*e/L))</t>
    </r>
  </si>
  <si>
    <t>Distance of R from heel</t>
  </si>
  <si>
    <r>
      <t>h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= W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/γ</t>
    </r>
    <r>
      <rPr>
        <vertAlign val="subscript"/>
        <sz val="10"/>
        <rFont val="Arial"/>
        <family val="2"/>
      </rPr>
      <t>s</t>
    </r>
  </si>
  <si>
    <t>Active pressure due Surcharge Load</t>
  </si>
  <si>
    <t>Active pressure due Backfill Load</t>
  </si>
  <si>
    <t>e)</t>
  </si>
  <si>
    <t>Extra Height of RW due to inclined back fill</t>
  </si>
  <si>
    <t>Total Height of Retaining Wall due to Surcharge</t>
  </si>
  <si>
    <t>Total Height of RW due to inclined back fill</t>
  </si>
  <si>
    <r>
      <t>(L-t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) / 3</t>
    </r>
  </si>
  <si>
    <r>
      <t>H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h+h</t>
    </r>
    <r>
      <rPr>
        <vertAlign val="subscript"/>
        <sz val="10"/>
        <rFont val="Arial"/>
        <family val="2"/>
      </rPr>
      <t>s</t>
    </r>
  </si>
  <si>
    <t>L = 0.6h to 0.65h</t>
  </si>
  <si>
    <t>Proposed</t>
  </si>
  <si>
    <t>Adopted</t>
  </si>
  <si>
    <t>viii)</t>
  </si>
  <si>
    <r>
      <t>P</t>
    </r>
    <r>
      <rPr>
        <vertAlign val="subscript"/>
        <sz val="10"/>
        <rFont val="Arial"/>
        <family val="2"/>
      </rPr>
      <t>a2</t>
    </r>
    <r>
      <rPr>
        <sz val="10"/>
        <rFont val="Arial"/>
        <family val="2"/>
      </rPr>
      <t xml:space="preserve"> = 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*γ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*h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/ 2</t>
    </r>
  </si>
  <si>
    <r>
      <t>(L- (t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/2))/2</t>
    </r>
  </si>
  <si>
    <r>
      <t>h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= h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2"/>
      </rPr>
      <t>+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y + (z * tan</t>
    </r>
    <r>
      <rPr>
        <sz val="10"/>
        <rFont val="Calibri"/>
        <family val="0"/>
      </rPr>
      <t>Ø</t>
    </r>
    <r>
      <rPr>
        <sz val="10"/>
        <rFont val="Arial"/>
        <family val="2"/>
      </rPr>
      <t>)</t>
    </r>
  </si>
  <si>
    <r>
      <t>Mo= (P</t>
    </r>
    <r>
      <rPr>
        <vertAlign val="subscript"/>
        <sz val="10"/>
        <rFont val="Arial"/>
        <family val="2"/>
      </rPr>
      <t>a1</t>
    </r>
    <r>
      <rPr>
        <sz val="10"/>
        <rFont val="Arial"/>
        <family val="2"/>
      </rPr>
      <t xml:space="preserve"> * h/2) +(( P</t>
    </r>
    <r>
      <rPr>
        <vertAlign val="subscript"/>
        <sz val="10"/>
        <rFont val="Arial"/>
        <family val="2"/>
      </rPr>
      <t>a2</t>
    </r>
    <r>
      <rPr>
        <sz val="10"/>
        <rFont val="Arial"/>
        <family val="2"/>
      </rPr>
      <t>*CosӨ)* h/3)</t>
    </r>
  </si>
  <si>
    <t>a)</t>
  </si>
  <si>
    <t>b)</t>
  </si>
  <si>
    <t>c)</t>
  </si>
  <si>
    <t>d)</t>
  </si>
  <si>
    <r>
      <t>x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=∑Mw/∑W</t>
    </r>
  </si>
  <si>
    <t>DESIGN OF RETAINING WALL</t>
  </si>
  <si>
    <r>
      <t>h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2"/>
      </rPr>
      <t>= (L-t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)* tan</t>
    </r>
    <r>
      <rPr>
        <sz val="10"/>
        <rFont val="Calibri"/>
        <family val="0"/>
      </rPr>
      <t>Ө</t>
    </r>
  </si>
  <si>
    <r>
      <t>H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h+h</t>
    </r>
    <r>
      <rPr>
        <vertAlign val="subscript"/>
        <sz val="10"/>
        <rFont val="Arial"/>
        <family val="2"/>
      </rPr>
      <t>i</t>
    </r>
  </si>
  <si>
    <t>Extra Height of Retaining Wall due to Surcharge</t>
  </si>
  <si>
    <r>
      <t>W</t>
    </r>
    <r>
      <rPr>
        <vertAlign val="subscript"/>
        <sz val="10"/>
        <rFont val="Arial"/>
        <family val="2"/>
      </rPr>
      <t>1</t>
    </r>
  </si>
  <si>
    <r>
      <t>W</t>
    </r>
    <r>
      <rPr>
        <vertAlign val="subscript"/>
        <sz val="10"/>
        <rFont val="Arial"/>
        <family val="2"/>
      </rPr>
      <t>2</t>
    </r>
  </si>
  <si>
    <r>
      <t>W</t>
    </r>
    <r>
      <rPr>
        <vertAlign val="subscript"/>
        <sz val="10"/>
        <rFont val="Arial"/>
        <family val="2"/>
      </rPr>
      <t>3</t>
    </r>
  </si>
  <si>
    <r>
      <t>W</t>
    </r>
    <r>
      <rPr>
        <vertAlign val="subscript"/>
        <sz val="10"/>
        <rFont val="Arial"/>
        <family val="2"/>
      </rPr>
      <t>4</t>
    </r>
  </si>
  <si>
    <r>
      <t>W</t>
    </r>
    <r>
      <rPr>
        <vertAlign val="subscript"/>
        <sz val="10"/>
        <rFont val="Arial"/>
        <family val="2"/>
      </rPr>
      <t>5</t>
    </r>
  </si>
  <si>
    <r>
      <t>W</t>
    </r>
    <r>
      <rPr>
        <vertAlign val="subscript"/>
        <sz val="10"/>
        <rFont val="Arial"/>
        <family val="2"/>
      </rPr>
      <t>6</t>
    </r>
  </si>
  <si>
    <r>
      <t>(FS)</t>
    </r>
    <r>
      <rPr>
        <vertAlign val="subscript"/>
        <sz val="10"/>
        <rFont val="Arial"/>
        <family val="2"/>
      </rPr>
      <t xml:space="preserve">OT </t>
    </r>
    <r>
      <rPr>
        <sz val="10"/>
        <rFont val="Arial"/>
        <family val="2"/>
      </rPr>
      <t>= 0.9 * (Mr/Mo)</t>
    </r>
  </si>
  <si>
    <r>
      <t>(FS)</t>
    </r>
    <r>
      <rPr>
        <vertAlign val="subscript"/>
        <sz val="10"/>
        <rFont val="Arial"/>
        <family val="2"/>
      </rPr>
      <t>SL</t>
    </r>
    <r>
      <rPr>
        <sz val="10"/>
        <rFont val="Arial"/>
        <family val="2"/>
      </rPr>
      <t>=0.9*(F/(Pa*CosӨ))</t>
    </r>
  </si>
  <si>
    <t>&gt; 1.4</t>
  </si>
  <si>
    <t>Pressure Distridution on soil</t>
  </si>
  <si>
    <r>
      <t>Design Height of RW considered H = Max of 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&amp; H</t>
    </r>
    <r>
      <rPr>
        <vertAlign val="subscript"/>
        <sz val="10"/>
        <rFont val="Arial"/>
        <family val="2"/>
      </rPr>
      <t>2</t>
    </r>
  </si>
  <si>
    <t>Working Stress Method</t>
  </si>
  <si>
    <t>Modular ratio</t>
  </si>
  <si>
    <t>Neutral axis depth factor</t>
  </si>
  <si>
    <t>Tensile stress in steel</t>
  </si>
  <si>
    <t>Factor</t>
  </si>
  <si>
    <t>Lever arm</t>
  </si>
  <si>
    <t>m = 280/3c</t>
  </si>
  <si>
    <t>k=mc/(mc+t)</t>
  </si>
  <si>
    <t>j = 1 - k/3</t>
  </si>
  <si>
    <t>R= cjk / 2</t>
  </si>
  <si>
    <t>Grade of concrete</t>
  </si>
  <si>
    <t>Grade of steel</t>
  </si>
  <si>
    <r>
      <t>q</t>
    </r>
    <r>
      <rPr>
        <vertAlign val="subscript"/>
        <sz val="10"/>
        <rFont val="Calibri"/>
        <family val="0"/>
      </rPr>
      <t>sh</t>
    </r>
    <r>
      <rPr>
        <sz val="10"/>
        <rFont val="Calibri"/>
        <family val="0"/>
      </rPr>
      <t>=q</t>
    </r>
    <r>
      <rPr>
        <vertAlign val="subscript"/>
        <sz val="10"/>
        <rFont val="Calibri"/>
        <family val="0"/>
      </rPr>
      <t>max</t>
    </r>
    <r>
      <rPr>
        <sz val="10"/>
        <rFont val="Calibri"/>
        <family val="0"/>
      </rPr>
      <t>-((q</t>
    </r>
    <r>
      <rPr>
        <vertAlign val="subscript"/>
        <sz val="10"/>
        <rFont val="Calibri"/>
        <family val="0"/>
      </rPr>
      <t>max</t>
    </r>
    <r>
      <rPr>
        <sz val="10"/>
        <rFont val="Calibri"/>
        <family val="0"/>
      </rPr>
      <t>-q</t>
    </r>
    <r>
      <rPr>
        <vertAlign val="subscript"/>
        <sz val="10"/>
        <rFont val="Calibri"/>
        <family val="0"/>
      </rPr>
      <t>min</t>
    </r>
    <r>
      <rPr>
        <sz val="10"/>
        <rFont val="Calibri"/>
        <family val="0"/>
      </rPr>
      <t>)/L)*t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)</t>
    </r>
  </si>
  <si>
    <t>Pressure at junction of stem and heel</t>
  </si>
  <si>
    <t>Design</t>
  </si>
  <si>
    <t>Ast required</t>
  </si>
  <si>
    <t>Shear Stress</t>
  </si>
  <si>
    <t>Stem</t>
  </si>
  <si>
    <r>
      <t>t</t>
    </r>
    <r>
      <rPr>
        <vertAlign val="subscript"/>
        <sz val="10"/>
        <rFont val="Arial"/>
        <family val="2"/>
      </rPr>
      <t xml:space="preserve">b </t>
    </r>
    <r>
      <rPr>
        <sz val="10"/>
        <rFont val="Arial"/>
        <family val="2"/>
      </rPr>
      <t>= 0.08 * (h + h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)</t>
    </r>
  </si>
  <si>
    <t>L = 1.5 * √(Ca/3) * (h + hs)</t>
  </si>
  <si>
    <t>Thickness required</t>
  </si>
  <si>
    <t>Thickness provided</t>
  </si>
  <si>
    <t>ts</t>
  </si>
  <si>
    <r>
      <t>d</t>
    </r>
    <r>
      <rPr>
        <vertAlign val="subscript"/>
        <sz val="10"/>
        <rFont val="Arial"/>
        <family val="2"/>
      </rPr>
      <t>req</t>
    </r>
    <r>
      <rPr>
        <sz val="10"/>
        <rFont val="Arial"/>
        <family val="2"/>
      </rPr>
      <t>=</t>
    </r>
    <r>
      <rPr>
        <sz val="10"/>
        <rFont val="Calibri"/>
        <family val="0"/>
      </rPr>
      <t>√</t>
    </r>
    <r>
      <rPr>
        <sz val="10"/>
        <rFont val="Arial"/>
        <family val="2"/>
      </rPr>
      <t>(M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/(R*b)</t>
    </r>
  </si>
  <si>
    <r>
      <t>A</t>
    </r>
    <r>
      <rPr>
        <vertAlign val="subscript"/>
        <sz val="10"/>
        <rFont val="Arial"/>
        <family val="2"/>
      </rPr>
      <t>st</t>
    </r>
    <r>
      <rPr>
        <sz val="10"/>
        <rFont val="Arial"/>
        <family val="2"/>
      </rPr>
      <t xml:space="preserve"> = M/(t*j*t</t>
    </r>
    <r>
      <rPr>
        <vertAlign val="subscript"/>
        <sz val="10"/>
        <rFont val="Arial"/>
        <family val="2"/>
      </rPr>
      <t>se</t>
    </r>
    <r>
      <rPr>
        <sz val="10"/>
        <rFont val="Arial"/>
        <family val="2"/>
      </rPr>
      <t>)</t>
    </r>
  </si>
  <si>
    <r>
      <rPr>
        <sz val="10"/>
        <rFont val="Calibri"/>
        <family val="0"/>
      </rPr>
      <t>ζ</t>
    </r>
    <r>
      <rPr>
        <sz val="10"/>
        <rFont val="Arial"/>
        <family val="2"/>
      </rPr>
      <t>v = SF/ (b*d)</t>
    </r>
  </si>
  <si>
    <t>Shear Stress Allowable</t>
  </si>
  <si>
    <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A</t>
    </r>
    <r>
      <rPr>
        <vertAlign val="subscript"/>
        <sz val="10"/>
        <rFont val="Arial"/>
        <family val="2"/>
      </rPr>
      <t>st</t>
    </r>
    <r>
      <rPr>
        <sz val="10"/>
        <rFont val="Arial"/>
        <family val="2"/>
      </rPr>
      <t>/(b*d)</t>
    </r>
  </si>
  <si>
    <t>Refer IS-456 2000 Table 23 pg 84</t>
  </si>
  <si>
    <t>Ast provided</t>
  </si>
  <si>
    <t>Base Slab</t>
  </si>
  <si>
    <t>∑Ws</t>
  </si>
  <si>
    <r>
      <t>∑M</t>
    </r>
    <r>
      <rPr>
        <vertAlign val="subscript"/>
        <sz val="10"/>
        <rFont val="Calibri"/>
        <family val="0"/>
      </rPr>
      <t>s</t>
    </r>
  </si>
  <si>
    <t>Lever arm from bottom of stem</t>
  </si>
  <si>
    <r>
      <t>(h-t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) / 2</t>
    </r>
  </si>
  <si>
    <r>
      <t>(h-t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)</t>
    </r>
    <r>
      <rPr>
        <sz val="10"/>
        <rFont val="Arial"/>
        <family val="2"/>
      </rPr>
      <t xml:space="preserve"> / 3</t>
    </r>
  </si>
  <si>
    <r>
      <t>∑W</t>
    </r>
    <r>
      <rPr>
        <vertAlign val="subscript"/>
        <sz val="10"/>
        <rFont val="Calibri"/>
        <family val="0"/>
      </rPr>
      <t>s</t>
    </r>
  </si>
  <si>
    <t xml:space="preserve">Backfill Load </t>
  </si>
  <si>
    <t xml:space="preserve"> = (L-ts)*(h-tb)*γs</t>
  </si>
  <si>
    <t xml:space="preserve">Surcharge Load  </t>
  </si>
  <si>
    <t xml:space="preserve"> = Ca*Ws*h</t>
  </si>
  <si>
    <t xml:space="preserve">Inclined Backfill Load </t>
  </si>
  <si>
    <t xml:space="preserve"> = ((L-ts)*hi)/2*γs</t>
  </si>
  <si>
    <r>
      <t>Stem self weight</t>
    </r>
    <r>
      <rPr>
        <sz val="10"/>
        <rFont val="Arial"/>
        <family val="2"/>
      </rPr>
      <t xml:space="preserve"> </t>
    </r>
  </si>
  <si>
    <t xml:space="preserve"> = ts*(h-tb)*γconc</t>
  </si>
  <si>
    <t xml:space="preserve"> = L*tb*γconc</t>
  </si>
  <si>
    <t xml:space="preserve">Downward component </t>
  </si>
  <si>
    <t xml:space="preserve"> = Pa*sinӨ</t>
  </si>
  <si>
    <t xml:space="preserve">Base  self weight </t>
  </si>
  <si>
    <t xml:space="preserve"> = (Ca*γs*(h-tb)^2/2</t>
  </si>
  <si>
    <t xml:space="preserve"> = (Ca*Ws*(h-tb)</t>
  </si>
  <si>
    <r>
      <t xml:space="preserve"> = (C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*W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*(h-t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-60))</t>
    </r>
  </si>
  <si>
    <r>
      <t xml:space="preserve"> = </t>
    </r>
    <r>
      <rPr>
        <sz val="10"/>
        <rFont val="Arial"/>
        <family val="2"/>
      </rPr>
      <t>(C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*γs*(h-t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-60)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/2)</t>
    </r>
  </si>
  <si>
    <t xml:space="preserve">Self Weight of base slab </t>
  </si>
  <si>
    <t>Net upward soil pressure</t>
  </si>
  <si>
    <t xml:space="preserve">Shear Force </t>
  </si>
  <si>
    <t xml:space="preserve"> = tb *25</t>
  </si>
  <si>
    <t>Compr stress in concrete</t>
  </si>
  <si>
    <t xml:space="preserve">Active Pressure Coefficients  </t>
  </si>
  <si>
    <t xml:space="preserve"> =(cosӨ-√(cos2Ө-cos2Ø)*cosӨ) / (cosӨ+√(cos2Ө-cos2Ø))</t>
  </si>
  <si>
    <t xml:space="preserve">Force due to surcharge </t>
  </si>
  <si>
    <t>Dorce due to backfill</t>
  </si>
  <si>
    <t>Shear Force due to surcharge</t>
  </si>
  <si>
    <t>Shear Force due to backfill</t>
  </si>
  <si>
    <t>Force due to backfill+surcharge</t>
  </si>
  <si>
    <r>
      <t xml:space="preserve"> = γ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*(H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-t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)</t>
    </r>
  </si>
  <si>
    <t xml:space="preserve">Force due to inclined backfill </t>
  </si>
  <si>
    <r>
      <t xml:space="preserve"> = </t>
    </r>
    <r>
      <rPr>
        <sz val="10"/>
        <rFont val="Calibri"/>
        <family val="0"/>
      </rPr>
      <t>γ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* h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/2</t>
    </r>
  </si>
  <si>
    <t>Shear Stress = ζv = SF/ (b*d)</t>
  </si>
  <si>
    <t>ix)</t>
  </si>
  <si>
    <t>x)</t>
  </si>
  <si>
    <t>xi)</t>
  </si>
  <si>
    <t>xii)</t>
  </si>
  <si>
    <t>Sl.No</t>
  </si>
  <si>
    <t>Defl</t>
  </si>
  <si>
    <t>Deflection</t>
  </si>
  <si>
    <t>clear cover to main reinf.</t>
  </si>
  <si>
    <t>eff depth</t>
  </si>
  <si>
    <t xml:space="preserve">Steel </t>
  </si>
  <si>
    <r>
      <t>Mu/bd</t>
    </r>
    <r>
      <rPr>
        <vertAlign val="superscript"/>
        <sz val="10"/>
        <rFont val="Arial"/>
        <family val="2"/>
      </rPr>
      <t>2</t>
    </r>
  </si>
  <si>
    <t>DRB</t>
  </si>
  <si>
    <t>Astlim</t>
  </si>
  <si>
    <t>Mu2</t>
  </si>
  <si>
    <t>Ast2</t>
  </si>
  <si>
    <t>Tension Reinforcement</t>
  </si>
  <si>
    <t xml:space="preserve">  </t>
  </si>
  <si>
    <t>fsc</t>
  </si>
  <si>
    <t>fcc</t>
  </si>
  <si>
    <t>Compression Reinforcement</t>
  </si>
  <si>
    <t>Pc provided</t>
  </si>
  <si>
    <t>actual req</t>
  </si>
  <si>
    <t>min</t>
  </si>
  <si>
    <t>max</t>
  </si>
  <si>
    <t>Length</t>
  </si>
  <si>
    <t>Ec</t>
  </si>
  <si>
    <t>Width</t>
  </si>
  <si>
    <t>Depth</t>
  </si>
  <si>
    <t>Ixx</t>
  </si>
  <si>
    <t>Simply supported beam with UDL</t>
  </si>
  <si>
    <t>Cantilever beam with UDL</t>
  </si>
  <si>
    <t>Cantilever beam with Point Load</t>
  </si>
  <si>
    <t>Simply supported beam with Point Load</t>
  </si>
  <si>
    <r>
      <t>5Wl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/384EI</t>
    </r>
  </si>
  <si>
    <r>
      <t>Wl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/3EI</t>
    </r>
  </si>
  <si>
    <r>
      <t>Wl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/8EI</t>
    </r>
  </si>
  <si>
    <r>
      <t>Wl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/48EI</t>
    </r>
  </si>
  <si>
    <t>Formula</t>
  </si>
  <si>
    <r>
      <t>Elasticity of Concrete = 5000(</t>
    </r>
    <r>
      <rPr>
        <sz val="10"/>
        <rFont val="Calibri"/>
        <family val="0"/>
      </rPr>
      <t>√</t>
    </r>
    <r>
      <rPr>
        <sz val="10"/>
        <rFont val="Arial"/>
        <family val="2"/>
      </rPr>
      <t>fck)</t>
    </r>
  </si>
  <si>
    <r>
      <t>Moment of Inertia      = bd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/12</t>
    </r>
  </si>
  <si>
    <t>dy</t>
  </si>
  <si>
    <t>II</t>
  </si>
  <si>
    <t>.= d - d'</t>
  </si>
  <si>
    <t>.= cc+ sdia + mdia/2</t>
  </si>
  <si>
    <t>Mulim</t>
  </si>
  <si>
    <t>.= (700/(1100 * (0.87 * fy)) * d</t>
  </si>
  <si>
    <t>Tension (Ast)</t>
  </si>
  <si>
    <t xml:space="preserve">Percentage </t>
  </si>
  <si>
    <t>.=Vu / (b * d)</t>
  </si>
  <si>
    <t>Shear Force (Vu)</t>
  </si>
  <si>
    <t>Grade Check</t>
  </si>
  <si>
    <t>Type of stirrup</t>
  </si>
  <si>
    <r>
      <t>.=Mu/bd</t>
    </r>
    <r>
      <rPr>
        <vertAlign val="superscript"/>
        <sz val="10"/>
        <rFont val="Arial"/>
        <family val="2"/>
      </rPr>
      <t>2</t>
    </r>
  </si>
  <si>
    <r>
      <t>.=(0.87435/100) * (fy/fck)</t>
    </r>
    <r>
      <rPr>
        <i/>
        <vertAlign val="superscript"/>
        <sz val="10"/>
        <rFont val="Arial"/>
        <family val="2"/>
      </rPr>
      <t>2</t>
    </r>
  </si>
  <si>
    <r>
      <t>.=(0.87/100) * (fy)</t>
    </r>
  </si>
  <si>
    <r>
      <t>.=Mulim/bd</t>
    </r>
    <r>
      <rPr>
        <vertAlign val="superscript"/>
        <sz val="10"/>
        <rFont val="Arial"/>
        <family val="2"/>
      </rPr>
      <t>2</t>
    </r>
  </si>
  <si>
    <r>
      <t>.=-(b</t>
    </r>
    <r>
      <rPr>
        <sz val="10"/>
        <rFont val="Calibri"/>
        <family val="0"/>
      </rPr>
      <t>±</t>
    </r>
    <r>
      <rPr>
        <sz val="10"/>
        <rFont val="Calibri"/>
        <family val="0"/>
      </rPr>
      <t>√(b</t>
    </r>
    <r>
      <rPr>
        <vertAlign val="superscript"/>
        <sz val="10"/>
        <rFont val="Calibri"/>
        <family val="0"/>
      </rPr>
      <t>2</t>
    </r>
    <r>
      <rPr>
        <sz val="10"/>
        <rFont val="Calibri"/>
        <family val="0"/>
      </rPr>
      <t>-4ac))/2a</t>
    </r>
  </si>
  <si>
    <t>.=(p*b*d)/100</t>
  </si>
  <si>
    <t>.=Mu - Mulim</t>
  </si>
  <si>
    <t>.=Mu2/((0.87*fy)*(d-d'))</t>
  </si>
  <si>
    <t>.=Astlim+Ast2</t>
  </si>
  <si>
    <t>.=0.466*fck</t>
  </si>
  <si>
    <t>Refer Table F SP 16 pg 13</t>
  </si>
  <si>
    <t>.=Mu2/((fsc-fcc)*(d-d'))</t>
  </si>
  <si>
    <t>.=0.85% / fy</t>
  </si>
  <si>
    <t>.=(0.85*b*d) / fy</t>
  </si>
  <si>
    <t>.=0.04*b*d)</t>
  </si>
  <si>
    <t>Shear Calculations</t>
  </si>
  <si>
    <t>Steel Calculation</t>
  </si>
  <si>
    <t>Refer Table 61 SP 16 pg 179</t>
  </si>
  <si>
    <t>.=(0.8*fck)/(6.89*Pt)</t>
  </si>
  <si>
    <t>Shear Capacity of Concrete (Vs)</t>
  </si>
  <si>
    <t>.=ζc*b*d</t>
  </si>
  <si>
    <t>Shear Stg to be caried by Stirrup (Vus)</t>
  </si>
  <si>
    <t>.=Vu-Vs</t>
  </si>
  <si>
    <t>.=(Asv*0.87fy*d)/Vus</t>
  </si>
  <si>
    <t>.=(Asv*0.87fy)/(b*0.4)</t>
  </si>
  <si>
    <t>.=300mm</t>
  </si>
  <si>
    <t>.=0.75d</t>
  </si>
  <si>
    <t>provide the least of the 4</t>
  </si>
  <si>
    <t>.=(Ast*100)/(b*d)</t>
  </si>
  <si>
    <t>.=(Asc*100)/(b*d)</t>
  </si>
  <si>
    <t>.= 0.36*fck*b*xumax*(d-(0.42*xumax))</t>
  </si>
  <si>
    <r>
      <t>or   =(0.85</t>
    </r>
    <r>
      <rPr>
        <i/>
        <sz val="10"/>
        <color indexed="60"/>
        <rFont val="Calibri"/>
        <family val="0"/>
      </rPr>
      <t>*</t>
    </r>
    <r>
      <rPr>
        <i/>
        <sz val="10"/>
        <color indexed="60"/>
        <rFont val="Calibri"/>
        <family val="0"/>
      </rPr>
      <t>√(0.8*fck)*√(1+5</t>
    </r>
    <r>
      <rPr>
        <i/>
        <sz val="10"/>
        <color indexed="60"/>
        <rFont val="Century Gothic"/>
        <family val="2"/>
      </rPr>
      <t>β)</t>
    </r>
    <r>
      <rPr>
        <i/>
        <sz val="10"/>
        <color indexed="60"/>
        <rFont val="Calibri"/>
        <family val="0"/>
      </rPr>
      <t>-1)) / (6</t>
    </r>
    <r>
      <rPr>
        <i/>
        <sz val="10"/>
        <color indexed="60"/>
        <rFont val="Century Gothic"/>
        <family val="2"/>
      </rPr>
      <t>β</t>
    </r>
    <r>
      <rPr>
        <i/>
        <sz val="10"/>
        <color indexed="60"/>
        <rFont val="Calibri"/>
        <family val="0"/>
      </rPr>
      <t>)</t>
    </r>
  </si>
  <si>
    <t>Refer Table J SP 16 pg 175</t>
  </si>
  <si>
    <t>Regular</t>
  </si>
  <si>
    <t>Slab Type</t>
  </si>
  <si>
    <t>Longer Span (ly)</t>
  </si>
  <si>
    <t>Shorter Span (lx)</t>
  </si>
  <si>
    <t>Compr (Asc)</t>
  </si>
  <si>
    <r>
      <t>.= bd</t>
    </r>
    <r>
      <rPr>
        <i/>
        <vertAlign val="superscript"/>
        <sz val="9"/>
        <color indexed="60"/>
        <rFont val="Arial"/>
        <family val="2"/>
      </rPr>
      <t>3</t>
    </r>
    <r>
      <rPr>
        <i/>
        <sz val="9"/>
        <color indexed="60"/>
        <rFont val="Arial"/>
        <family val="2"/>
      </rPr>
      <t>/12</t>
    </r>
  </si>
  <si>
    <r>
      <t>.= 5*W*l</t>
    </r>
    <r>
      <rPr>
        <i/>
        <vertAlign val="superscript"/>
        <sz val="9"/>
        <color indexed="60"/>
        <rFont val="Arial"/>
        <family val="2"/>
      </rPr>
      <t>4</t>
    </r>
    <r>
      <rPr>
        <i/>
        <sz val="9"/>
        <color indexed="60"/>
        <rFont val="Arial"/>
        <family val="2"/>
      </rPr>
      <t>/(384EI)</t>
    </r>
  </si>
  <si>
    <t>ly/lx ratio</t>
  </si>
  <si>
    <t>one way</t>
  </si>
  <si>
    <t>two way</t>
  </si>
  <si>
    <t>.=w*lx/2</t>
  </si>
  <si>
    <t>.=w*lx/3</t>
  </si>
  <si>
    <r>
      <t>.=(w*lx/2) + (1-(1/3)*(lx/ly)</t>
    </r>
    <r>
      <rPr>
        <i/>
        <vertAlign val="superscript"/>
        <sz val="9"/>
        <color indexed="60"/>
        <rFont val="Arial"/>
        <family val="2"/>
      </rPr>
      <t>2</t>
    </r>
    <r>
      <rPr>
        <i/>
        <sz val="9"/>
        <color indexed="60"/>
        <rFont val="Arial"/>
        <family val="2"/>
      </rPr>
      <t>)</t>
    </r>
  </si>
  <si>
    <r>
      <t>.=w*lx</t>
    </r>
    <r>
      <rPr>
        <i/>
        <vertAlign val="superscript"/>
        <sz val="9"/>
        <color indexed="60"/>
        <rFont val="Arial"/>
        <family val="2"/>
      </rPr>
      <t>2</t>
    </r>
    <r>
      <rPr>
        <i/>
        <sz val="9"/>
        <color indexed="60"/>
        <rFont val="Arial"/>
        <family val="2"/>
      </rPr>
      <t>/ 8</t>
    </r>
  </si>
  <si>
    <r>
      <t>.=</t>
    </r>
    <r>
      <rPr>
        <sz val="9"/>
        <color indexed="60"/>
        <rFont val="Century Gothic"/>
        <family val="2"/>
      </rPr>
      <t xml:space="preserve">αx * </t>
    </r>
    <r>
      <rPr>
        <i/>
        <sz val="9"/>
        <color indexed="60"/>
        <rFont val="Arial"/>
        <family val="2"/>
      </rPr>
      <t>w*lx</t>
    </r>
    <r>
      <rPr>
        <i/>
        <vertAlign val="superscript"/>
        <sz val="9"/>
        <color indexed="60"/>
        <rFont val="Arial"/>
        <family val="2"/>
      </rPr>
      <t>2</t>
    </r>
  </si>
  <si>
    <r>
      <t>.=</t>
    </r>
    <r>
      <rPr>
        <sz val="9"/>
        <color indexed="60"/>
        <rFont val="Century Gothic"/>
        <family val="2"/>
      </rPr>
      <t xml:space="preserve">αy * </t>
    </r>
    <r>
      <rPr>
        <i/>
        <sz val="9"/>
        <color indexed="60"/>
        <rFont val="Arial"/>
        <family val="2"/>
      </rPr>
      <t>w*lx</t>
    </r>
    <r>
      <rPr>
        <i/>
        <vertAlign val="superscript"/>
        <sz val="9"/>
        <color indexed="60"/>
        <rFont val="Arial"/>
        <family val="2"/>
      </rPr>
      <t>2</t>
    </r>
  </si>
  <si>
    <t>Refer Chart 4 SP 16 pg 21</t>
  </si>
  <si>
    <t>Refer Table 5-44 SP 16 pg 51-80</t>
  </si>
  <si>
    <t>.=ast of bar*1000/ast req</t>
  </si>
  <si>
    <t>.=Mulim &gt; Mux or Muy</t>
  </si>
  <si>
    <t>Design Calculations</t>
  </si>
  <si>
    <t>Final Ast provided</t>
  </si>
  <si>
    <t>interptn. value</t>
  </si>
  <si>
    <t>Finishes Load</t>
  </si>
  <si>
    <t>Defln</t>
  </si>
  <si>
    <t>Column Design</t>
  </si>
  <si>
    <t>Mu</t>
  </si>
  <si>
    <t>Pu/(fckbd)</t>
  </si>
  <si>
    <r>
      <t>Mu/(fckbd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</si>
  <si>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pt</t>
  </si>
  <si>
    <t xml:space="preserve">Number of bars </t>
  </si>
  <si>
    <t>●</t>
  </si>
  <si>
    <t>Minimum eccentricity</t>
  </si>
  <si>
    <t>Chart No.</t>
  </si>
  <si>
    <t>Page No</t>
  </si>
  <si>
    <t>Chart 27</t>
  </si>
  <si>
    <t>Chart 28</t>
  </si>
  <si>
    <t>Chart 29</t>
  </si>
  <si>
    <t>Chart 30</t>
  </si>
  <si>
    <t>Chart 31</t>
  </si>
  <si>
    <t>Chart 32</t>
  </si>
  <si>
    <t>Chart 33</t>
  </si>
  <si>
    <t>Chart 34</t>
  </si>
  <si>
    <t>Chart 35</t>
  </si>
  <si>
    <t>Chart 36</t>
  </si>
  <si>
    <t>Chart 37</t>
  </si>
  <si>
    <t>Chart 38</t>
  </si>
  <si>
    <t>length</t>
  </si>
  <si>
    <t>Total</t>
  </si>
  <si>
    <t>Span</t>
  </si>
  <si>
    <t>125 mm</t>
  </si>
  <si>
    <t>150 mm</t>
  </si>
  <si>
    <t>175 mm</t>
  </si>
  <si>
    <t>200 mm</t>
  </si>
  <si>
    <t>Moment (KNm)</t>
  </si>
  <si>
    <r>
      <t>Ast (mm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</si>
  <si>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M</t>
  </si>
  <si>
    <t>Reaction</t>
  </si>
  <si>
    <r>
      <t>W</t>
    </r>
    <r>
      <rPr>
        <vertAlign val="subscript"/>
        <sz val="10"/>
        <rFont val="Arial"/>
        <family val="2"/>
      </rPr>
      <t>2</t>
    </r>
  </si>
  <si>
    <r>
      <t>W</t>
    </r>
    <r>
      <rPr>
        <vertAlign val="subscript"/>
        <sz val="10"/>
        <rFont val="Arial"/>
        <family val="2"/>
      </rPr>
      <t>3</t>
    </r>
  </si>
  <si>
    <r>
      <t>W</t>
    </r>
    <r>
      <rPr>
        <vertAlign val="subscript"/>
        <sz val="10"/>
        <rFont val="Arial"/>
        <family val="2"/>
      </rPr>
      <t>4</t>
    </r>
  </si>
  <si>
    <t>Overturning Moment due to Imposed load</t>
  </si>
  <si>
    <t>Overturning Moment due to Backfill load</t>
  </si>
  <si>
    <r>
      <t>Mo = (1.2*M</t>
    </r>
    <r>
      <rPr>
        <vertAlign val="subscript"/>
        <sz val="10"/>
        <rFont val="Arial"/>
        <family val="2"/>
      </rPr>
      <t>DIL</t>
    </r>
    <r>
      <rPr>
        <sz val="10"/>
        <rFont val="Arial"/>
        <family val="2"/>
      </rPr>
      <t>) + (1.4*M</t>
    </r>
    <r>
      <rPr>
        <vertAlign val="subscript"/>
        <sz val="10"/>
        <rFont val="Arial"/>
        <family val="2"/>
      </rPr>
      <t>OIL</t>
    </r>
    <r>
      <rPr>
        <sz val="10"/>
        <rFont val="Arial"/>
        <family val="2"/>
      </rPr>
      <t>)</t>
    </r>
  </si>
  <si>
    <r>
      <t>Mw not less than (1.2*M</t>
    </r>
    <r>
      <rPr>
        <vertAlign val="subscript"/>
        <sz val="10"/>
        <rFont val="Arial"/>
        <family val="2"/>
      </rPr>
      <t>ODL</t>
    </r>
    <r>
      <rPr>
        <sz val="10"/>
        <rFont val="Arial"/>
        <family val="2"/>
      </rPr>
      <t>) +(1.4*M</t>
    </r>
    <r>
      <rPr>
        <vertAlign val="subscript"/>
        <sz val="10"/>
        <rFont val="Arial"/>
        <family val="2"/>
      </rPr>
      <t>OIL</t>
    </r>
    <r>
      <rPr>
        <sz val="10"/>
        <rFont val="Arial"/>
        <family val="2"/>
      </rPr>
      <t>)</t>
    </r>
  </si>
  <si>
    <t xml:space="preserve"> -clause 20.1 page 33 of IS 456 2000</t>
  </si>
  <si>
    <t>Total Load on stem (Force)</t>
  </si>
  <si>
    <r>
      <t>(FS)</t>
    </r>
    <r>
      <rPr>
        <vertAlign val="subscript"/>
        <sz val="10"/>
        <rFont val="Arial"/>
        <family val="2"/>
      </rPr>
      <t>SL</t>
    </r>
    <r>
      <rPr>
        <sz val="10"/>
        <rFont val="Arial"/>
        <family val="2"/>
      </rPr>
      <t>= (0.9*F)/(Pa)</t>
    </r>
  </si>
  <si>
    <r>
      <t>((L-t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) / 3) + ts</t>
    </r>
  </si>
  <si>
    <r>
      <t>((L-t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) / 2) + ts</t>
    </r>
  </si>
  <si>
    <t>Net Moment at toe</t>
  </si>
  <si>
    <t>Mn = Mw - Mo</t>
  </si>
  <si>
    <t>Point of application of Resultant R</t>
  </si>
  <si>
    <t>x = Mn/W</t>
  </si>
  <si>
    <t>L/6=</t>
  </si>
  <si>
    <r>
      <t>q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 W/L * (1+(6*e/L))</t>
    </r>
  </si>
  <si>
    <r>
      <t>q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= W/L * (1-(6*e/L))</t>
    </r>
  </si>
  <si>
    <t>Beanding Moment at base of stem</t>
  </si>
  <si>
    <r>
      <t>M = M</t>
    </r>
    <r>
      <rPr>
        <vertAlign val="subscript"/>
        <sz val="10"/>
        <rFont val="Arial"/>
        <family val="2"/>
      </rPr>
      <t>ODL</t>
    </r>
    <r>
      <rPr>
        <sz val="10"/>
        <rFont val="Arial"/>
        <family val="2"/>
      </rPr>
      <t xml:space="preserve"> + M</t>
    </r>
    <r>
      <rPr>
        <vertAlign val="subscript"/>
        <sz val="10"/>
        <rFont val="Arial"/>
        <family val="2"/>
      </rPr>
      <t>OIL</t>
    </r>
  </si>
  <si>
    <t>Upward soil pressure</t>
  </si>
  <si>
    <r>
      <t>Nup = ((q</t>
    </r>
    <r>
      <rPr>
        <vertAlign val="subscript"/>
        <sz val="10"/>
        <rFont val="Arial"/>
        <family val="2"/>
      </rPr>
      <t>sh</t>
    </r>
    <r>
      <rPr>
        <sz val="10"/>
        <rFont val="Arial"/>
        <family val="2"/>
      </rPr>
      <t>+q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>)/2)*(L-ts)</t>
    </r>
  </si>
  <si>
    <t>Md</t>
  </si>
  <si>
    <t>A)</t>
  </si>
  <si>
    <t>B)</t>
  </si>
  <si>
    <t>Msh = Mu-Md</t>
  </si>
  <si>
    <t>Height of Retaining Wall</t>
  </si>
  <si>
    <r>
      <t>P</t>
    </r>
    <r>
      <rPr>
        <vertAlign val="subscript"/>
        <sz val="10"/>
        <rFont val="Arial"/>
        <family val="2"/>
      </rPr>
      <t>HS</t>
    </r>
    <r>
      <rPr>
        <sz val="10"/>
        <rFont val="Arial"/>
        <family val="2"/>
      </rPr>
      <t xml:space="preserve"> = 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*W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*h</t>
    </r>
  </si>
  <si>
    <r>
      <t>P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= 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*γ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*h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/ 2</t>
    </r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</si>
  <si>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= P</t>
    </r>
    <r>
      <rPr>
        <vertAlign val="subscript"/>
        <sz val="10"/>
        <rFont val="Arial"/>
        <family val="2"/>
      </rPr>
      <t>HS</t>
    </r>
    <r>
      <rPr>
        <sz val="10"/>
        <rFont val="Arial"/>
        <family val="2"/>
      </rPr>
      <t xml:space="preserve"> + P</t>
    </r>
    <r>
      <rPr>
        <vertAlign val="subscript"/>
        <sz val="10"/>
        <rFont val="Arial"/>
        <family val="2"/>
      </rPr>
      <t>H</t>
    </r>
  </si>
  <si>
    <r>
      <t>M</t>
    </r>
    <r>
      <rPr>
        <vertAlign val="subscript"/>
        <sz val="10"/>
        <rFont val="Arial"/>
        <family val="2"/>
      </rPr>
      <t xml:space="preserve">OIL </t>
    </r>
    <r>
      <rPr>
        <sz val="10"/>
        <rFont val="Arial"/>
        <family val="2"/>
      </rPr>
      <t>=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P</t>
    </r>
    <r>
      <rPr>
        <vertAlign val="subscript"/>
        <sz val="10"/>
        <rFont val="Arial"/>
        <family val="2"/>
      </rPr>
      <t>HS</t>
    </r>
    <r>
      <rPr>
        <sz val="10"/>
        <rFont val="Arial"/>
        <family val="2"/>
      </rPr>
      <t>*h/2</t>
    </r>
  </si>
  <si>
    <r>
      <t>M</t>
    </r>
    <r>
      <rPr>
        <vertAlign val="subscript"/>
        <sz val="10"/>
        <rFont val="Arial"/>
        <family val="2"/>
      </rPr>
      <t xml:space="preserve">ODL </t>
    </r>
    <r>
      <rPr>
        <sz val="10"/>
        <rFont val="Arial"/>
        <family val="2"/>
      </rPr>
      <t>=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P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*h/3</t>
    </r>
  </si>
  <si>
    <r>
      <t>Pa = P</t>
    </r>
    <r>
      <rPr>
        <vertAlign val="subscript"/>
        <sz val="10"/>
        <rFont val="Arial"/>
        <family val="2"/>
      </rPr>
      <t>HS</t>
    </r>
    <r>
      <rPr>
        <sz val="10"/>
        <rFont val="Arial"/>
        <family val="2"/>
      </rPr>
      <t xml:space="preserve"> + P</t>
    </r>
    <r>
      <rPr>
        <vertAlign val="subscript"/>
        <sz val="10"/>
        <rFont val="Arial"/>
        <family val="2"/>
      </rPr>
      <t>H</t>
    </r>
  </si>
  <si>
    <t>min 200mm</t>
  </si>
  <si>
    <t>e = (L/2) - x</t>
  </si>
  <si>
    <t xml:space="preserve"> -clause 20.2 page 33 of IS 456 2000</t>
  </si>
  <si>
    <t>Reinforcement Details</t>
  </si>
  <si>
    <t>C)</t>
  </si>
  <si>
    <t xml:space="preserve">Overturning Moment </t>
  </si>
  <si>
    <t xml:space="preserve">Front fill Load </t>
  </si>
  <si>
    <r>
      <t>((L-t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) / 2)</t>
    </r>
  </si>
  <si>
    <t>Lever arm at end of stem</t>
  </si>
  <si>
    <t>hp</t>
  </si>
  <si>
    <t>Height of Plinth Fill</t>
  </si>
  <si>
    <t xml:space="preserve"> = (L-ts)*(hp-tb)*γs</t>
  </si>
  <si>
    <r>
      <t xml:space="preserve"> = (H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-t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)*(L-ts)*γs</t>
    </r>
  </si>
  <si>
    <t>Force due to Frontfill</t>
  </si>
  <si>
    <r>
      <t xml:space="preserve"> = (L-ts)*(hp-tb)*γ</t>
    </r>
    <r>
      <rPr>
        <vertAlign val="subscript"/>
        <sz val="10"/>
        <rFont val="Arial"/>
        <family val="2"/>
      </rPr>
      <t>s</t>
    </r>
  </si>
  <si>
    <r>
      <t xml:space="preserve"> = h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/2*(L-ts)*γs </t>
    </r>
  </si>
  <si>
    <t>Lever arm at start of heel</t>
  </si>
  <si>
    <t>table 21 page 81 IS 456</t>
  </si>
  <si>
    <t>Constants for Working Stress Method</t>
  </si>
  <si>
    <t>DESIGN OF Reverse L Shaped Cantilever RETAINING WALL</t>
  </si>
  <si>
    <t>DESIGN OF L Shaped Cantilever RETAINING WALL</t>
  </si>
  <si>
    <t>PT Beam Load</t>
  </si>
  <si>
    <r>
      <t>t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/ 2</t>
    </r>
  </si>
  <si>
    <r>
      <t>(t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/2) + (L-t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)</t>
    </r>
  </si>
  <si>
    <r>
      <t>Mn = Mw - (M</t>
    </r>
    <r>
      <rPr>
        <vertAlign val="subscript"/>
        <sz val="10"/>
        <rFont val="Calibri"/>
        <family val="0"/>
      </rPr>
      <t>OIL</t>
    </r>
    <r>
      <rPr>
        <sz val="10"/>
        <rFont val="Calibri"/>
        <family val="0"/>
      </rPr>
      <t>+M</t>
    </r>
    <r>
      <rPr>
        <vertAlign val="subscript"/>
        <sz val="10"/>
        <rFont val="Calibri"/>
        <family val="0"/>
      </rPr>
      <t>ODL</t>
    </r>
    <r>
      <rPr>
        <sz val="10"/>
        <rFont val="Calibri"/>
        <family val="0"/>
      </rPr>
      <t>)</t>
    </r>
  </si>
  <si>
    <r>
      <t xml:space="preserve"> = L* tb * γ</t>
    </r>
    <r>
      <rPr>
        <vertAlign val="subscript"/>
        <sz val="10"/>
        <rFont val="Arial"/>
        <family val="2"/>
      </rPr>
      <t>conc</t>
    </r>
  </si>
  <si>
    <t>Heigth of earth mobilization</t>
  </si>
  <si>
    <r>
      <t xml:space="preserve"> =L *tb*γ</t>
    </r>
    <r>
      <rPr>
        <vertAlign val="subscript"/>
        <sz val="10"/>
        <rFont val="Arial"/>
        <family val="2"/>
      </rPr>
      <t xml:space="preserve">conc </t>
    </r>
  </si>
  <si>
    <r>
      <t>L</t>
    </r>
    <r>
      <rPr>
        <sz val="10"/>
        <rFont val="Arial"/>
        <family val="2"/>
      </rPr>
      <t xml:space="preserve"> / 2</t>
    </r>
  </si>
  <si>
    <t>5a</t>
  </si>
  <si>
    <r>
      <rPr>
        <sz val="10"/>
        <rFont val="Calibri"/>
        <family val="0"/>
      </rPr>
      <t>α</t>
    </r>
    <r>
      <rPr>
        <sz val="10"/>
        <rFont val="Arial"/>
        <family val="2"/>
      </rPr>
      <t xml:space="preserve"> = 1 - (q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/2.7*γs*H)</t>
    </r>
  </si>
  <si>
    <r>
      <t>L = H*sqrt((Ca*cos</t>
    </r>
    <r>
      <rPr>
        <sz val="10"/>
        <rFont val="Calibri"/>
        <family val="0"/>
      </rPr>
      <t>β</t>
    </r>
    <r>
      <rPr>
        <sz val="10"/>
        <rFont val="Arial"/>
        <family val="2"/>
      </rPr>
      <t>)/((1-</t>
    </r>
    <r>
      <rPr>
        <sz val="10"/>
        <rFont val="Calibri"/>
        <family val="0"/>
      </rPr>
      <t>α</t>
    </r>
    <r>
      <rPr>
        <sz val="10"/>
        <rFont val="Arial"/>
        <family val="2"/>
      </rPr>
      <t>)*(1+3</t>
    </r>
    <r>
      <rPr>
        <sz val="10"/>
        <rFont val="Calibri"/>
        <family val="0"/>
      </rPr>
      <t>α</t>
    </r>
    <r>
      <rPr>
        <sz val="10"/>
        <rFont val="Arial"/>
        <family val="2"/>
      </rPr>
      <t>))</t>
    </r>
  </si>
  <si>
    <t>if sloped backfill</t>
  </si>
  <si>
    <t>if horizontal backfill</t>
  </si>
  <si>
    <r>
      <t>L = 0.95*H*sqrt((Ca</t>
    </r>
    <r>
      <rPr>
        <sz val="10"/>
        <rFont val="Arial"/>
        <family val="2"/>
      </rPr>
      <t>)/((1-</t>
    </r>
    <r>
      <rPr>
        <sz val="10"/>
        <rFont val="Calibri"/>
        <family val="0"/>
      </rPr>
      <t>α</t>
    </r>
    <r>
      <rPr>
        <sz val="10"/>
        <rFont val="Arial"/>
        <family val="2"/>
      </rPr>
      <t>)*(1+3</t>
    </r>
    <r>
      <rPr>
        <sz val="10"/>
        <rFont val="Calibri"/>
        <family val="0"/>
      </rPr>
      <t>α</t>
    </r>
    <r>
      <rPr>
        <sz val="10"/>
        <rFont val="Arial"/>
        <family val="2"/>
      </rPr>
      <t>))</t>
    </r>
  </si>
  <si>
    <r>
      <rPr>
        <sz val="10"/>
        <rFont val="Calibri"/>
        <family val="0"/>
      </rPr>
      <t>α</t>
    </r>
    <r>
      <rPr>
        <sz val="10"/>
        <rFont val="Arial"/>
        <family val="2"/>
      </rPr>
      <t xml:space="preserve"> = 1 - (q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/2.2*γs*H)</t>
    </r>
  </si>
  <si>
    <t xml:space="preserve"> </t>
  </si>
  <si>
    <r>
      <t>((q</t>
    </r>
    <r>
      <rPr>
        <vertAlign val="subscript"/>
        <sz val="10"/>
        <rFont val="Arial"/>
        <family val="2"/>
      </rPr>
      <t>sh</t>
    </r>
    <r>
      <rPr>
        <sz val="10"/>
        <rFont val="Arial"/>
        <family val="2"/>
      </rPr>
      <t>+(2*q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>))/(q</t>
    </r>
    <r>
      <rPr>
        <vertAlign val="subscript"/>
        <sz val="10"/>
        <rFont val="Arial"/>
        <family val="2"/>
      </rPr>
      <t>sh</t>
    </r>
    <r>
      <rPr>
        <sz val="10"/>
        <rFont val="Arial"/>
        <family val="2"/>
      </rPr>
      <t>+q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>)) * ((L-t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)/3)</t>
    </r>
  </si>
  <si>
    <t>FF</t>
  </si>
  <si>
    <t>OL</t>
  </si>
  <si>
    <t>1a</t>
  </si>
  <si>
    <t>Sunken</t>
  </si>
  <si>
    <t>PT 1</t>
  </si>
  <si>
    <t>PT 2 3</t>
  </si>
  <si>
    <t>Slab Dessign</t>
  </si>
  <si>
    <t>Combined Footing</t>
  </si>
  <si>
    <t>Isolated Footing</t>
  </si>
  <si>
    <t>Dome Design</t>
  </si>
  <si>
    <t>3 Hinged Arch Design</t>
  </si>
  <si>
    <t>Circular Beam</t>
  </si>
  <si>
    <t>Slender Column</t>
  </si>
  <si>
    <t>Bi-Axial Column</t>
  </si>
  <si>
    <t>Deflection Calculation</t>
  </si>
  <si>
    <t>Design of Long Walls</t>
  </si>
  <si>
    <t>Tank empty with pressure of saturated soil from side</t>
  </si>
  <si>
    <t>Active pressure pa = (Ka*γ'*H) + (γw*H)</t>
  </si>
  <si>
    <t>Height of Tank</t>
  </si>
  <si>
    <r>
      <t>γ</t>
    </r>
    <r>
      <rPr>
        <vertAlign val="subscript"/>
        <sz val="10"/>
        <rFont val="Calibri"/>
        <family val="0"/>
      </rPr>
      <t>w</t>
    </r>
  </si>
  <si>
    <t>Water Density</t>
  </si>
  <si>
    <t>Active Pressure Coefficients</t>
  </si>
  <si>
    <t xml:space="preserve"> = (1-SinØ) / (1+SinØ)</t>
  </si>
  <si>
    <t>Ka</t>
  </si>
  <si>
    <t>Dry Soil Density</t>
  </si>
  <si>
    <t>Saturated Soil Density</t>
  </si>
  <si>
    <r>
      <t>γ</t>
    </r>
    <r>
      <rPr>
        <vertAlign val="subscript"/>
        <sz val="10"/>
        <rFont val="Calibri"/>
        <family val="0"/>
      </rPr>
      <t xml:space="preserve">' </t>
    </r>
    <r>
      <rPr>
        <sz val="10"/>
        <rFont val="Calibri"/>
        <family val="0"/>
      </rPr>
      <t>= γ - γw</t>
    </r>
  </si>
  <si>
    <t>M = (pa) *H/3</t>
  </si>
  <si>
    <t>Beanding Moment at base of wall</t>
  </si>
  <si>
    <t>pa = w*l/2</t>
  </si>
  <si>
    <t>50 % bars to be Curtailed from base</t>
  </si>
  <si>
    <t>12dia</t>
  </si>
  <si>
    <r>
      <t>h1 = h - h*(1/2)</t>
    </r>
    <r>
      <rPr>
        <vertAlign val="superscript"/>
        <sz val="10"/>
        <rFont val="Arial"/>
        <family val="2"/>
      </rPr>
      <t>1/3</t>
    </r>
  </si>
  <si>
    <t>plus 12 dia or thickness</t>
  </si>
  <si>
    <t>thinkness</t>
  </si>
  <si>
    <t>Total curtaliment length from base</t>
  </si>
  <si>
    <t>IS 456 caluse 26.2.3.1 page 44</t>
  </si>
  <si>
    <r>
      <t>A</t>
    </r>
    <r>
      <rPr>
        <vertAlign val="subscript"/>
        <sz val="10"/>
        <rFont val="Arial"/>
        <family val="2"/>
      </rPr>
      <t>st min</t>
    </r>
    <r>
      <rPr>
        <sz val="10"/>
        <rFont val="Arial"/>
        <family val="2"/>
      </rPr>
      <t xml:space="preserve"> = 12 % of area</t>
    </r>
  </si>
  <si>
    <t>Tank full with water and no earth fill outside</t>
  </si>
  <si>
    <t>Active pressure pa = (γw*H)</t>
  </si>
  <si>
    <t>Design Constants for Working Stress Method</t>
  </si>
</sst>
</file>

<file path=xl/styles.xml><?xml version="1.0" encoding="utf-8"?>
<styleSheet xmlns="http://schemas.openxmlformats.org/spreadsheetml/2006/main">
  <numFmts count="10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 &quot;sqmm&quot;"/>
    <numFmt numFmtId="166" formatCode="0\ &quot;KN-m&quot;"/>
    <numFmt numFmtId="167" formatCode="0\ &quot;KN/m&quot;"/>
    <numFmt numFmtId="168" formatCode="0\ &quot;MPa&quot;"/>
    <numFmt numFmtId="169" formatCode="0\ &quot;KN&quot;"/>
    <numFmt numFmtId="170" formatCode="0\ &quot;mm&quot;"/>
    <numFmt numFmtId="171" formatCode="0\ &quot;c/c&quot;"/>
    <numFmt numFmtId="172" formatCode="0.00\ &quot;mm&quot;"/>
    <numFmt numFmtId="173" formatCode="0.00\ &quot;meters&quot;"/>
    <numFmt numFmtId="174" formatCode="0.00\ &quot;KN/sqm&quot;"/>
    <numFmt numFmtId="175" formatCode="0.00\ &quot;KN/m&quot;"/>
    <numFmt numFmtId="176" formatCode="0.00E+0"/>
    <numFmt numFmtId="177" formatCode="0.00E+0\ &quot;KN/sqm&quot;"/>
    <numFmt numFmtId="178" formatCode="0\ &quot;nos&quot;"/>
    <numFmt numFmtId="179" formatCode="0.00\ &quot;KN&quot;"/>
    <numFmt numFmtId="180" formatCode="&quot;Mx&quot;\ \=\ 0\ &quot;KN-m&quot;"/>
    <numFmt numFmtId="181" formatCode="&quot;My&quot;\ \=\ 0\ &quot;KN-m&quot;"/>
    <numFmt numFmtId="182" formatCode="&quot;Mxy&quot;\ \=\ 0\ &quot;KN-m&quot;"/>
    <numFmt numFmtId="183" formatCode="&quot;Qy&quot;\ \=\ 0\ &quot;KN&quot;"/>
    <numFmt numFmtId="184" formatCode="&quot;Qx&quot;\ \=\ 0\ &quot;KN&quot;"/>
    <numFmt numFmtId="185" formatCode="0.0E+00\ &quot;KN/sqm&quot;"/>
    <numFmt numFmtId="186" formatCode="\I\ \=\ 0.00E+00"/>
    <numFmt numFmtId="187" formatCode="&quot;Dx =&quot;\ 0.00E+00"/>
    <numFmt numFmtId="188" formatCode="&quot;Dy =&quot;\ 0.00E+00"/>
    <numFmt numFmtId="189" formatCode="&quot;G =&quot;\ 0.00E+0\ &quot;KN/sqm&quot;"/>
    <numFmt numFmtId="190" formatCode="&quot;C2 =&quot;\ 0.00E+0\ &quot;cum&quot;"/>
    <numFmt numFmtId="191" formatCode="&quot;C1 =&quot;\ 0.00E+0\ &quot;cum&quot;"/>
    <numFmt numFmtId="192" formatCode="&quot;Cx =&quot;\ 0.00E+0"/>
    <numFmt numFmtId="193" formatCode="&quot;Cy =&quot;\ 0.00E+0"/>
    <numFmt numFmtId="194" formatCode="&quot;2H =&quot;\ 0.00E+0"/>
    <numFmt numFmtId="195" formatCode="&quot;Bending Moment =&quot;\ 0\ &quot;KN-m&quot;"/>
    <numFmt numFmtId="196" formatCode="\ 0\ &quot;KN-m&quot;"/>
    <numFmt numFmtId="197" formatCode="&quot;corressponding to Pt =&quot;\ 0.00"/>
    <numFmt numFmtId="198" formatCode="0.0000"/>
    <numFmt numFmtId="199" formatCode="[$-409]d\-mmm\-yyyy;@"/>
    <numFmt numFmtId="200" formatCode="0.00\ &quot;m&quot;"/>
    <numFmt numFmtId="201" formatCode="0.000\ &quot;%&quot;"/>
    <numFmt numFmtId="202" formatCode="&quot;@&quot;\ 0\ &quot;mm&quot;\ &quot;c/c&quot;"/>
    <numFmt numFmtId="203" formatCode="0\ &quot;mm dia&quot;"/>
    <numFmt numFmtId="204" formatCode="0.000\ &quot;MPa&quot;"/>
    <numFmt numFmtId="205" formatCode="0\ &quot;KNm2&quot;"/>
    <numFmt numFmtId="206" formatCode="0.00\ &quot;sqmm&quot;"/>
    <numFmt numFmtId="207" formatCode="0\ &quot;meters&quot;"/>
    <numFmt numFmtId="208" formatCode="0.0\ &quot;meters&quot;"/>
    <numFmt numFmtId="209" formatCode="\ 0\ &quot;mm dia&quot;"/>
    <numFmt numFmtId="210" formatCode="0\ &quot;-&quot;"/>
    <numFmt numFmtId="211" formatCode="0.0\ &quot;KNm2&quot;"/>
    <numFmt numFmtId="212" formatCode="0.000\ &quot;KNm2&quot;"/>
    <numFmt numFmtId="213" formatCode="0.000\ &quot;KN/m&quot;"/>
    <numFmt numFmtId="214" formatCode="0.0\ &quot;KN/m&quot;"/>
    <numFmt numFmtId="215" formatCode="&quot;0 to &quot;0.00"/>
    <numFmt numFmtId="216" formatCode="&quot;r =&quot;\ 0.00\ &quot;m&quot;"/>
    <numFmt numFmtId="217" formatCode="&quot;d =&quot;\ 0.00\ &quot;m&quot;"/>
    <numFmt numFmtId="218" formatCode="&quot;h =&quot;\ 0.00\ &quot;m&quot;"/>
    <numFmt numFmtId="219" formatCode="0.0\ &quot;KN&quot;"/>
    <numFmt numFmtId="220" formatCode="0\ &quot;deg&quot;"/>
    <numFmt numFmtId="221" formatCode="0.0000\ &quot;radians&quot;"/>
    <numFmt numFmtId="222" formatCode="0.00\ &quot;mts&quot;"/>
    <numFmt numFmtId="223" formatCode="[$-409]dd\-mmm\-yy;@"/>
    <numFmt numFmtId="224" formatCode="0.0"/>
    <numFmt numFmtId="225" formatCode="0\ &quot;&lt; 12&quot;"/>
    <numFmt numFmtId="226" formatCode="0\ &quot;&gt; 12&quot;"/>
    <numFmt numFmtId="227" formatCode="0.00\ &quot;&gt; 1 hence Revise the section&quot;"/>
    <numFmt numFmtId="228" formatCode="0.00\ &quot;&lt; 1 hence Steel Percentage OK&quot;"/>
    <numFmt numFmtId="229" formatCode="0.00_);[Red]\(0.00\)"/>
    <numFmt numFmtId="230" formatCode="0.0\ &quot;mm&quot;"/>
    <numFmt numFmtId="231" formatCode="0.00&quot;%&quot;"/>
    <numFmt numFmtId="232" formatCode="&quot;Ast =&quot;\ 0\ &quot;sqmm&quot;"/>
    <numFmt numFmtId="233" formatCode="&quot;Min Ast =&quot;\ 0\ &quot;sqmm&quot;"/>
    <numFmt numFmtId="234" formatCode="0\ &quot;KN/sqm&quot;"/>
    <numFmt numFmtId="235" formatCode="0\ &quot;KN/cum&quot;"/>
    <numFmt numFmtId="236" formatCode="0.000\ &quot;radians&quot;"/>
    <numFmt numFmtId="237" formatCode="0\ &quot;degrees&quot;"/>
    <numFmt numFmtId="238" formatCode="0\ &quot;KNm&quot;"/>
    <numFmt numFmtId="239" formatCode="0.00\ &quot;N/sqmm&quot;"/>
    <numFmt numFmtId="240" formatCode="0.00\ &quot;%&quot;"/>
    <numFmt numFmtId="241" formatCode="dd\-mmm\-yy;@"/>
    <numFmt numFmtId="242" formatCode="0&quot; mm&quot;"/>
    <numFmt numFmtId="243" formatCode="0&quot; MPa&quot;"/>
    <numFmt numFmtId="244" formatCode="0&quot; KN-m&quot;"/>
    <numFmt numFmtId="245" formatCode="0&quot; sqmm&quot;"/>
    <numFmt numFmtId="246" formatCode="0.000&quot; %&quot;"/>
    <numFmt numFmtId="247" formatCode="0&quot; KN&quot;"/>
    <numFmt numFmtId="248" formatCode="0&quot; legged&quot;"/>
    <numFmt numFmtId="249" formatCode="0&quot; c/c&quot;"/>
    <numFmt numFmtId="250" formatCode="0.0000\ &quot;mm4&quot;"/>
    <numFmt numFmtId="251" formatCode="0&quot;-&quot;"/>
    <numFmt numFmtId="252" formatCode="0&quot;#&quot;"/>
    <numFmt numFmtId="253" formatCode="&quot;12# @ &quot;0&quot; c/c&quot;"/>
    <numFmt numFmtId="254" formatCode="&quot;16# @ &quot;0&quot; c/c&quot;"/>
    <numFmt numFmtId="255" formatCode="0.000\ &quot;meters&quot;"/>
    <numFmt numFmtId="256" formatCode="&quot;to be used as UDL =&quot;\ 0\ &quot;KN&quot;"/>
    <numFmt numFmtId="257" formatCode="0.00\ &quot;KN/cum&quot;"/>
  </numFmts>
  <fonts count="11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39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12"/>
      <name val="Arial"/>
      <family val="2"/>
    </font>
    <font>
      <b/>
      <sz val="10"/>
      <color indexed="39"/>
      <name val="Arial"/>
      <family val="2"/>
    </font>
    <font>
      <b/>
      <sz val="12"/>
      <color indexed="2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vertAlign val="subscript"/>
      <sz val="10"/>
      <name val="Arial"/>
      <family val="2"/>
    </font>
    <font>
      <i/>
      <vertAlign val="subscript"/>
      <sz val="10"/>
      <name val="Arial"/>
      <family val="2"/>
    </font>
    <font>
      <i/>
      <sz val="12"/>
      <name val="Arial"/>
      <family val="2"/>
    </font>
    <font>
      <sz val="10"/>
      <color indexed="16"/>
      <name val="Arial"/>
      <family val="2"/>
    </font>
    <font>
      <b/>
      <vertAlign val="subscript"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vertAlign val="subscript"/>
      <sz val="8"/>
      <name val="Arial"/>
      <family val="2"/>
    </font>
    <font>
      <i/>
      <vertAlign val="superscript"/>
      <sz val="8"/>
      <name val="Arial"/>
      <family val="2"/>
    </font>
    <font>
      <i/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u val="single"/>
      <sz val="10"/>
      <name val="Arial"/>
      <family val="2"/>
    </font>
    <font>
      <sz val="24"/>
      <color indexed="12"/>
      <name val="BankGothic Lt BT"/>
      <family val="2"/>
    </font>
    <font>
      <vertAlign val="subscript"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b/>
      <vertAlign val="superscript"/>
      <sz val="11"/>
      <name val="Calibri"/>
      <family val="2"/>
    </font>
    <font>
      <i/>
      <sz val="11"/>
      <name val="Calibri"/>
      <family val="2"/>
    </font>
    <font>
      <i/>
      <vertAlign val="subscript"/>
      <sz val="11"/>
      <name val="Calibri"/>
      <family val="2"/>
    </font>
    <font>
      <sz val="12"/>
      <name val="Calibri"/>
      <family val="2"/>
    </font>
    <font>
      <vertAlign val="subscript"/>
      <sz val="12"/>
      <name val="Calibri"/>
      <family val="2"/>
    </font>
    <font>
      <b/>
      <i/>
      <vertAlign val="subscript"/>
      <sz val="10"/>
      <name val="Arial"/>
      <family val="2"/>
    </font>
    <font>
      <b/>
      <i/>
      <vertAlign val="superscript"/>
      <sz val="10"/>
      <name val="Arial"/>
      <family val="2"/>
    </font>
    <font>
      <b/>
      <i/>
      <sz val="10"/>
      <color indexed="12"/>
      <name val="Arial"/>
      <family val="2"/>
    </font>
    <font>
      <vertAlign val="superscript"/>
      <sz val="10"/>
      <name val="Calibri"/>
      <family val="0"/>
    </font>
    <font>
      <i/>
      <sz val="10"/>
      <color indexed="60"/>
      <name val="Calibri"/>
      <family val="0"/>
    </font>
    <font>
      <i/>
      <sz val="10"/>
      <color indexed="60"/>
      <name val="Century Gothic"/>
      <family val="2"/>
    </font>
    <font>
      <i/>
      <sz val="9"/>
      <color indexed="60"/>
      <name val="Arial"/>
      <family val="2"/>
    </font>
    <font>
      <i/>
      <vertAlign val="superscript"/>
      <sz val="9"/>
      <color indexed="60"/>
      <name val="Arial"/>
      <family val="2"/>
    </font>
    <font>
      <sz val="16"/>
      <color indexed="12"/>
      <name val="BankGothic Lt BT"/>
      <family val="2"/>
    </font>
    <font>
      <sz val="9"/>
      <color indexed="60"/>
      <name val="Century Gothic"/>
      <family val="2"/>
    </font>
    <font>
      <sz val="9"/>
      <color indexed="12"/>
      <name val="Arial"/>
      <family val="2"/>
    </font>
    <font>
      <sz val="16"/>
      <color indexed="12"/>
      <name val="Arial Black"/>
      <family val="2"/>
    </font>
    <font>
      <sz val="16"/>
      <color indexed="57"/>
      <name val="Arial"/>
      <family val="2"/>
    </font>
    <font>
      <sz val="10"/>
      <color indexed="9"/>
      <name val="Arial"/>
      <family val="2"/>
    </font>
    <font>
      <b/>
      <sz val="10"/>
      <color indexed="4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2"/>
      <name val="Arial"/>
      <family val="2"/>
    </font>
    <font>
      <sz val="10"/>
      <color indexed="8"/>
      <name val="Calibri"/>
      <family val="2"/>
    </font>
    <font>
      <sz val="16"/>
      <color indexed="10"/>
      <name val="Arial Black"/>
      <family val="2"/>
    </font>
    <font>
      <sz val="16"/>
      <color indexed="17"/>
      <name val="Arial Black"/>
      <family val="2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vertAlign val="sub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>
      <alignment/>
      <protection/>
    </xf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30" borderId="1" applyNumberFormat="0" applyAlignment="0" applyProtection="0"/>
    <xf numFmtId="0" fontId="101" fillId="0" borderId="6" applyNumberFormat="0" applyFill="0" applyAlignment="0" applyProtection="0"/>
    <xf numFmtId="0" fontId="102" fillId="31" borderId="0" applyNumberFormat="0" applyBorder="0" applyAlignment="0" applyProtection="0"/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03" fillId="27" borderId="8" applyNumberFormat="0" applyAlignment="0" applyProtection="0"/>
    <xf numFmtId="9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</cellStyleXfs>
  <cellXfs count="156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center"/>
    </xf>
    <xf numFmtId="49" fontId="0" fillId="33" borderId="14" xfId="0" applyNumberFormat="1" applyFont="1" applyFill="1" applyBorder="1" applyAlignment="1">
      <alignment horizontal="center"/>
    </xf>
    <xf numFmtId="1" fontId="0" fillId="33" borderId="16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64" fontId="0" fillId="33" borderId="19" xfId="0" applyNumberForma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164" fontId="0" fillId="33" borderId="16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justify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1" fontId="0" fillId="33" borderId="0" xfId="0" applyNumberForma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vertical="justify"/>
    </xf>
    <xf numFmtId="1" fontId="6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right"/>
    </xf>
    <xf numFmtId="2" fontId="6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center" vertical="justify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0" fillId="33" borderId="19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166" fontId="6" fillId="33" borderId="0" xfId="0" applyNumberFormat="1" applyFont="1" applyFill="1" applyBorder="1" applyAlignment="1">
      <alignment horizontal="center"/>
    </xf>
    <xf numFmtId="171" fontId="6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172" fontId="6" fillId="33" borderId="0" xfId="0" applyNumberFormat="1" applyFont="1" applyFill="1" applyBorder="1" applyAlignment="1">
      <alignment horizontal="left"/>
    </xf>
    <xf numFmtId="0" fontId="0" fillId="33" borderId="13" xfId="0" applyFill="1" applyBorder="1" applyAlignment="1">
      <alignment horizontal="right"/>
    </xf>
    <xf numFmtId="0" fontId="0" fillId="33" borderId="20" xfId="0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70" fontId="4" fillId="33" borderId="15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166" fontId="4" fillId="33" borderId="15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 horizontal="center" vertical="justify"/>
    </xf>
    <xf numFmtId="169" fontId="4" fillId="33" borderId="15" xfId="0" applyNumberFormat="1" applyFont="1" applyFill="1" applyBorder="1" applyAlignment="1">
      <alignment horizontal="center"/>
    </xf>
    <xf numFmtId="170" fontId="6" fillId="33" borderId="15" xfId="0" applyNumberFormat="1" applyFont="1" applyFill="1" applyBorder="1" applyAlignment="1">
      <alignment horizontal="center"/>
    </xf>
    <xf numFmtId="168" fontId="4" fillId="33" borderId="15" xfId="0" applyNumberFormat="1" applyFont="1" applyFill="1" applyBorder="1" applyAlignment="1">
      <alignment horizontal="center"/>
    </xf>
    <xf numFmtId="0" fontId="17" fillId="33" borderId="0" xfId="0" applyFont="1" applyFill="1" applyAlignment="1">
      <alignment horizontal="center"/>
    </xf>
    <xf numFmtId="169" fontId="4" fillId="33" borderId="0" xfId="0" applyNumberFormat="1" applyFont="1" applyFill="1" applyBorder="1" applyAlignment="1">
      <alignment horizontal="center"/>
    </xf>
    <xf numFmtId="170" fontId="6" fillId="33" borderId="0" xfId="0" applyNumberFormat="1" applyFont="1" applyFill="1" applyBorder="1" applyAlignment="1">
      <alignment horizontal="center"/>
    </xf>
    <xf numFmtId="175" fontId="6" fillId="33" borderId="0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 horizontal="right"/>
    </xf>
    <xf numFmtId="175" fontId="6" fillId="33" borderId="2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175" fontId="15" fillId="33" borderId="0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5" fontId="4" fillId="33" borderId="15" xfId="0" applyNumberFormat="1" applyFont="1" applyFill="1" applyBorder="1" applyAlignment="1">
      <alignment horizontal="center"/>
    </xf>
    <xf numFmtId="165" fontId="15" fillId="33" borderId="0" xfId="0" applyNumberFormat="1" applyFont="1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0" fillId="33" borderId="2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7" xfId="0" applyFill="1" applyBorder="1" applyAlignment="1">
      <alignment horizontal="right"/>
    </xf>
    <xf numFmtId="170" fontId="23" fillId="33" borderId="0" xfId="0" applyNumberFormat="1" applyFont="1" applyFill="1" applyBorder="1" applyAlignment="1">
      <alignment horizontal="left"/>
    </xf>
    <xf numFmtId="0" fontId="18" fillId="33" borderId="0" xfId="0" applyFont="1" applyFill="1" applyBorder="1" applyAlignment="1">
      <alignment horizontal="right"/>
    </xf>
    <xf numFmtId="0" fontId="0" fillId="33" borderId="18" xfId="0" applyFill="1" applyBorder="1" applyAlignment="1">
      <alignment horizontal="left"/>
    </xf>
    <xf numFmtId="168" fontId="4" fillId="33" borderId="0" xfId="0" applyNumberFormat="1" applyFont="1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2" xfId="0" applyFill="1" applyBorder="1" applyAlignment="1">
      <alignment horizontal="right"/>
    </xf>
    <xf numFmtId="168" fontId="4" fillId="33" borderId="13" xfId="0" applyNumberFormat="1" applyFont="1" applyFill="1" applyBorder="1" applyAlignment="1">
      <alignment horizontal="left"/>
    </xf>
    <xf numFmtId="0" fontId="0" fillId="33" borderId="16" xfId="0" applyFill="1" applyBorder="1" applyAlignment="1">
      <alignment horizontal="right"/>
    </xf>
    <xf numFmtId="185" fontId="6" fillId="33" borderId="0" xfId="0" applyNumberFormat="1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7" fillId="33" borderId="20" xfId="0" applyFont="1" applyFill="1" applyBorder="1" applyAlignment="1">
      <alignment/>
    </xf>
    <xf numFmtId="179" fontId="6" fillId="33" borderId="17" xfId="0" applyNumberFormat="1" applyFont="1" applyFill="1" applyBorder="1" applyAlignment="1">
      <alignment horizontal="left"/>
    </xf>
    <xf numFmtId="179" fontId="6" fillId="33" borderId="21" xfId="0" applyNumberFormat="1" applyFont="1" applyFill="1" applyBorder="1" applyAlignment="1">
      <alignment horizontal="left"/>
    </xf>
    <xf numFmtId="174" fontId="15" fillId="33" borderId="21" xfId="0" applyNumberFormat="1" applyFont="1" applyFill="1" applyBorder="1" applyAlignment="1">
      <alignment horizontal="left"/>
    </xf>
    <xf numFmtId="2" fontId="6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Border="1" applyAlignment="1">
      <alignment horizontal="right"/>
    </xf>
    <xf numFmtId="164" fontId="0" fillId="33" borderId="0" xfId="0" applyNumberFormat="1" applyFill="1" applyBorder="1" applyAlignment="1">
      <alignment horizontal="left"/>
    </xf>
    <xf numFmtId="164" fontId="6" fillId="33" borderId="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right"/>
    </xf>
    <xf numFmtId="164" fontId="6" fillId="33" borderId="19" xfId="0" applyNumberFormat="1" applyFont="1" applyFill="1" applyBorder="1" applyAlignment="1">
      <alignment horizontal="left"/>
    </xf>
    <xf numFmtId="164" fontId="6" fillId="33" borderId="16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left"/>
    </xf>
    <xf numFmtId="11" fontId="6" fillId="33" borderId="0" xfId="0" applyNumberFormat="1" applyFont="1" applyFill="1" applyBorder="1" applyAlignment="1">
      <alignment horizontal="left"/>
    </xf>
    <xf numFmtId="0" fontId="18" fillId="33" borderId="0" xfId="0" applyFont="1" applyFill="1" applyBorder="1" applyAlignment="1">
      <alignment vertical="center"/>
    </xf>
    <xf numFmtId="177" fontId="0" fillId="33" borderId="0" xfId="0" applyNumberFormat="1" applyFill="1" applyBorder="1" applyAlignment="1">
      <alignment horizontal="left"/>
    </xf>
    <xf numFmtId="11" fontId="0" fillId="33" borderId="0" xfId="0" applyNumberFormat="1" applyFill="1" applyBorder="1" applyAlignment="1">
      <alignment/>
    </xf>
    <xf numFmtId="0" fontId="18" fillId="33" borderId="17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176" fontId="18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8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vertical="center"/>
    </xf>
    <xf numFmtId="172" fontId="6" fillId="33" borderId="16" xfId="0" applyNumberFormat="1" applyFont="1" applyFill="1" applyBorder="1" applyAlignment="1">
      <alignment horizontal="left"/>
    </xf>
    <xf numFmtId="0" fontId="0" fillId="33" borderId="0" xfId="0" applyFill="1" applyBorder="1" applyAlignment="1">
      <alignment vertical="justify"/>
    </xf>
    <xf numFmtId="0" fontId="7" fillId="33" borderId="18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18" fillId="33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180" fontId="15" fillId="33" borderId="13" xfId="0" applyNumberFormat="1" applyFont="1" applyFill="1" applyBorder="1" applyAlignment="1">
      <alignment horizontal="left"/>
    </xf>
    <xf numFmtId="181" fontId="15" fillId="33" borderId="13" xfId="0" applyNumberFormat="1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182" fontId="15" fillId="33" borderId="13" xfId="0" applyNumberFormat="1" applyFont="1" applyFill="1" applyBorder="1" applyAlignment="1">
      <alignment horizontal="left"/>
    </xf>
    <xf numFmtId="0" fontId="25" fillId="33" borderId="14" xfId="0" applyFont="1" applyFill="1" applyBorder="1" applyAlignment="1">
      <alignment/>
    </xf>
    <xf numFmtId="0" fontId="26" fillId="33" borderId="0" xfId="0" applyFont="1" applyFill="1" applyBorder="1" applyAlignment="1">
      <alignment horizontal="left"/>
    </xf>
    <xf numFmtId="0" fontId="18" fillId="33" borderId="17" xfId="0" applyFont="1" applyFill="1" applyBorder="1" applyAlignment="1">
      <alignment/>
    </xf>
    <xf numFmtId="184" fontId="15" fillId="33" borderId="13" xfId="0" applyNumberFormat="1" applyFont="1" applyFill="1" applyBorder="1" applyAlignment="1">
      <alignment horizontal="left"/>
    </xf>
    <xf numFmtId="183" fontId="15" fillId="33" borderId="13" xfId="0" applyNumberFormat="1" applyFont="1" applyFill="1" applyBorder="1" applyAlignment="1">
      <alignment horizontal="left"/>
    </xf>
    <xf numFmtId="1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174" fontId="6" fillId="33" borderId="21" xfId="0" applyNumberFormat="1" applyFont="1" applyFill="1" applyBorder="1" applyAlignment="1">
      <alignment horizontal="left"/>
    </xf>
    <xf numFmtId="0" fontId="17" fillId="33" borderId="0" xfId="0" applyFont="1" applyFill="1" applyAlignment="1">
      <alignment/>
    </xf>
    <xf numFmtId="0" fontId="17" fillId="33" borderId="11" xfId="0" applyFont="1" applyFill="1" applyBorder="1" applyAlignment="1">
      <alignment horizontal="center"/>
    </xf>
    <xf numFmtId="0" fontId="17" fillId="33" borderId="19" xfId="0" applyFont="1" applyFill="1" applyBorder="1" applyAlignment="1">
      <alignment horizontal="center"/>
    </xf>
    <xf numFmtId="0" fontId="0" fillId="33" borderId="17" xfId="0" applyFill="1" applyBorder="1" applyAlignment="1">
      <alignment vertical="justify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3" borderId="11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left"/>
    </xf>
    <xf numFmtId="0" fontId="7" fillId="33" borderId="17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0" fillId="33" borderId="13" xfId="0" applyFill="1" applyBorder="1" applyAlignment="1">
      <alignment horizontal="left"/>
    </xf>
    <xf numFmtId="178" fontId="4" fillId="33" borderId="17" xfId="0" applyNumberFormat="1" applyFont="1" applyFill="1" applyBorder="1" applyAlignment="1">
      <alignment horizontal="left"/>
    </xf>
    <xf numFmtId="173" fontId="4" fillId="33" borderId="17" xfId="0" applyNumberFormat="1" applyFont="1" applyFill="1" applyBorder="1" applyAlignment="1">
      <alignment horizontal="left"/>
    </xf>
    <xf numFmtId="170" fontId="4" fillId="33" borderId="17" xfId="0" applyNumberFormat="1" applyFont="1" applyFill="1" applyBorder="1" applyAlignment="1">
      <alignment horizontal="left"/>
    </xf>
    <xf numFmtId="168" fontId="4" fillId="33" borderId="17" xfId="0" applyNumberFormat="1" applyFont="1" applyFill="1" applyBorder="1" applyAlignment="1">
      <alignment horizontal="left"/>
    </xf>
    <xf numFmtId="168" fontId="4" fillId="33" borderId="16" xfId="0" applyNumberFormat="1" applyFont="1" applyFill="1" applyBorder="1" applyAlignment="1">
      <alignment horizontal="left"/>
    </xf>
    <xf numFmtId="179" fontId="4" fillId="33" borderId="17" xfId="0" applyNumberFormat="1" applyFont="1" applyFill="1" applyBorder="1" applyAlignment="1">
      <alignment horizontal="left"/>
    </xf>
    <xf numFmtId="179" fontId="4" fillId="33" borderId="16" xfId="0" applyNumberFormat="1" applyFont="1" applyFill="1" applyBorder="1" applyAlignment="1">
      <alignment horizontal="left"/>
    </xf>
    <xf numFmtId="195" fontId="6" fillId="33" borderId="0" xfId="0" applyNumberFormat="1" applyFont="1" applyFill="1" applyBorder="1" applyAlignment="1">
      <alignment horizontal="left"/>
    </xf>
    <xf numFmtId="196" fontId="4" fillId="33" borderId="0" xfId="0" applyNumberFormat="1" applyFont="1" applyFill="1" applyBorder="1" applyAlignment="1">
      <alignment horizontal="left"/>
    </xf>
    <xf numFmtId="0" fontId="18" fillId="33" borderId="13" xfId="0" applyFont="1" applyFill="1" applyBorder="1" applyAlignment="1">
      <alignment horizontal="left"/>
    </xf>
    <xf numFmtId="0" fontId="18" fillId="33" borderId="16" xfId="0" applyFont="1" applyFill="1" applyBorder="1" applyAlignment="1">
      <alignment horizontal="right"/>
    </xf>
    <xf numFmtId="0" fontId="18" fillId="33" borderId="17" xfId="0" applyFont="1" applyFill="1" applyBorder="1" applyAlignment="1">
      <alignment horizontal="right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/>
    </xf>
    <xf numFmtId="0" fontId="13" fillId="33" borderId="13" xfId="0" applyFont="1" applyFill="1" applyBorder="1" applyAlignment="1">
      <alignment horizontal="right"/>
    </xf>
    <xf numFmtId="172" fontId="15" fillId="33" borderId="13" xfId="0" applyNumberFormat="1" applyFont="1" applyFill="1" applyBorder="1" applyAlignment="1">
      <alignment horizontal="left"/>
    </xf>
    <xf numFmtId="0" fontId="0" fillId="33" borderId="24" xfId="0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>
      <alignment/>
    </xf>
    <xf numFmtId="198" fontId="4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70" fontId="4" fillId="33" borderId="15" xfId="0" applyNumberFormat="1" applyFont="1" applyFill="1" applyBorder="1" applyAlignment="1">
      <alignment horizontal="center" vertical="center"/>
    </xf>
    <xf numFmtId="168" fontId="4" fillId="33" borderId="15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vertical="center"/>
    </xf>
    <xf numFmtId="49" fontId="32" fillId="33" borderId="0" xfId="0" applyNumberFormat="1" applyFont="1" applyFill="1" applyAlignment="1">
      <alignment vertical="center"/>
    </xf>
    <xf numFmtId="0" fontId="32" fillId="33" borderId="0" xfId="0" applyFont="1" applyFill="1" applyAlignment="1">
      <alignment horizontal="left" vertical="center"/>
    </xf>
    <xf numFmtId="0" fontId="32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distributed" vertical="center"/>
    </xf>
    <xf numFmtId="49" fontId="0" fillId="33" borderId="0" xfId="0" applyNumberFormat="1" applyFill="1" applyAlignment="1">
      <alignment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169" fontId="4" fillId="33" borderId="15" xfId="0" applyNumberFormat="1" applyFont="1" applyFill="1" applyBorder="1" applyAlignment="1">
      <alignment horizontal="center" vertical="center"/>
    </xf>
    <xf numFmtId="166" fontId="4" fillId="33" borderId="15" xfId="0" applyNumberFormat="1" applyFont="1" applyFill="1" applyBorder="1" applyAlignment="1">
      <alignment horizontal="center" vertical="center"/>
    </xf>
    <xf numFmtId="168" fontId="4" fillId="33" borderId="21" xfId="0" applyNumberFormat="1" applyFont="1" applyFill="1" applyBorder="1" applyAlignment="1">
      <alignment horizontal="center" vertical="center"/>
    </xf>
    <xf numFmtId="2" fontId="15" fillId="33" borderId="15" xfId="0" applyNumberFormat="1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65" fontId="15" fillId="33" borderId="15" xfId="0" applyNumberFormat="1" applyFont="1" applyFill="1" applyBorder="1" applyAlignment="1">
      <alignment horizontal="center" vertical="center"/>
    </xf>
    <xf numFmtId="165" fontId="30" fillId="33" borderId="15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" fontId="15" fillId="33" borderId="15" xfId="0" applyNumberFormat="1" applyFont="1" applyFill="1" applyBorder="1" applyAlignment="1">
      <alignment horizontal="center" vertical="center"/>
    </xf>
    <xf numFmtId="201" fontId="5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justify"/>
    </xf>
    <xf numFmtId="198" fontId="0" fillId="33" borderId="17" xfId="0" applyNumberFormat="1" applyFont="1" applyFill="1" applyBorder="1" applyAlignment="1">
      <alignment horizontal="center"/>
    </xf>
    <xf numFmtId="198" fontId="0" fillId="33" borderId="19" xfId="0" applyNumberFormat="1" applyFont="1" applyFill="1" applyBorder="1" applyAlignment="1">
      <alignment horizontal="center"/>
    </xf>
    <xf numFmtId="171" fontId="6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 horizontal="left"/>
    </xf>
    <xf numFmtId="0" fontId="6" fillId="33" borderId="0" xfId="0" applyFont="1" applyFill="1" applyBorder="1" applyAlignment="1">
      <alignment horizontal="left"/>
    </xf>
    <xf numFmtId="165" fontId="5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 horizontal="left" vertical="justify"/>
    </xf>
    <xf numFmtId="1" fontId="5" fillId="33" borderId="0" xfId="0" applyNumberFormat="1" applyFont="1" applyFill="1" applyBorder="1" applyAlignment="1">
      <alignment horizontal="left"/>
    </xf>
    <xf numFmtId="1" fontId="16" fillId="33" borderId="0" xfId="0" applyNumberFormat="1" applyFont="1" applyFill="1" applyBorder="1" applyAlignment="1">
      <alignment horizontal="left"/>
    </xf>
    <xf numFmtId="170" fontId="4" fillId="33" borderId="15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98" fontId="0" fillId="33" borderId="19" xfId="0" applyNumberForma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205" fontId="6" fillId="33" borderId="15" xfId="0" applyNumberFormat="1" applyFont="1" applyFill="1" applyBorder="1" applyAlignment="1">
      <alignment horizontal="center"/>
    </xf>
    <xf numFmtId="2" fontId="6" fillId="33" borderId="15" xfId="0" applyNumberFormat="1" applyFont="1" applyFill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166" fontId="6" fillId="33" borderId="15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1" fontId="6" fillId="33" borderId="15" xfId="0" applyNumberFormat="1" applyFont="1" applyFill="1" applyBorder="1" applyAlignment="1">
      <alignment horizontal="center"/>
    </xf>
    <xf numFmtId="0" fontId="62" fillId="33" borderId="0" xfId="0" applyFont="1" applyFill="1" applyBorder="1" applyAlignment="1">
      <alignment vertical="justify"/>
    </xf>
    <xf numFmtId="0" fontId="4" fillId="33" borderId="0" xfId="0" applyFont="1" applyFill="1" applyBorder="1" applyAlignment="1">
      <alignment horizontal="center"/>
    </xf>
    <xf numFmtId="0" fontId="17" fillId="33" borderId="14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9" fillId="33" borderId="13" xfId="0" applyFont="1" applyFill="1" applyBorder="1" applyAlignment="1">
      <alignment/>
    </xf>
    <xf numFmtId="169" fontId="6" fillId="33" borderId="15" xfId="0" applyNumberFormat="1" applyFont="1" applyFill="1" applyBorder="1" applyAlignment="1">
      <alignment horizontal="center" vertical="center"/>
    </xf>
    <xf numFmtId="204" fontId="6" fillId="33" borderId="15" xfId="0" applyNumberFormat="1" applyFont="1" applyFill="1" applyBorder="1" applyAlignment="1">
      <alignment horizontal="center"/>
    </xf>
    <xf numFmtId="206" fontId="5" fillId="33" borderId="15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/>
    </xf>
    <xf numFmtId="171" fontId="6" fillId="33" borderId="15" xfId="0" applyNumberFormat="1" applyFont="1" applyFill="1" applyBorder="1" applyAlignment="1">
      <alignment horizontal="center" vertical="center"/>
    </xf>
    <xf numFmtId="203" fontId="35" fillId="33" borderId="18" xfId="0" applyNumberFormat="1" applyFont="1" applyFill="1" applyBorder="1" applyAlignment="1">
      <alignment horizontal="right" vertical="center"/>
    </xf>
    <xf numFmtId="202" fontId="35" fillId="33" borderId="21" xfId="0" applyNumberFormat="1" applyFont="1" applyFill="1" applyBorder="1" applyAlignment="1">
      <alignment horizontal="left" vertical="center"/>
    </xf>
    <xf numFmtId="165" fontId="5" fillId="33" borderId="15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right" textRotation="90"/>
    </xf>
    <xf numFmtId="0" fontId="6" fillId="33" borderId="14" xfId="0" applyFont="1" applyFill="1" applyBorder="1" applyAlignment="1">
      <alignment horizontal="left"/>
    </xf>
    <xf numFmtId="2" fontId="6" fillId="33" borderId="17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164" fontId="0" fillId="33" borderId="17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justify"/>
    </xf>
    <xf numFmtId="0" fontId="9" fillId="33" borderId="11" xfId="0" applyFont="1" applyFill="1" applyBorder="1" applyAlignment="1">
      <alignment horizontal="left" vertical="justify"/>
    </xf>
    <xf numFmtId="0" fontId="6" fillId="33" borderId="11" xfId="0" applyFont="1" applyFill="1" applyBorder="1" applyAlignment="1">
      <alignment vertical="justify"/>
    </xf>
    <xf numFmtId="203" fontId="0" fillId="33" borderId="0" xfId="0" applyNumberFormat="1" applyFont="1" applyFill="1" applyBorder="1" applyAlignment="1">
      <alignment horizontal="right" vertical="center"/>
    </xf>
    <xf numFmtId="202" fontId="0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justify"/>
    </xf>
    <xf numFmtId="173" fontId="35" fillId="33" borderId="15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/>
    </xf>
    <xf numFmtId="0" fontId="34" fillId="33" borderId="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right"/>
    </xf>
    <xf numFmtId="202" fontId="0" fillId="33" borderId="17" xfId="0" applyNumberFormat="1" applyFont="1" applyFill="1" applyBorder="1" applyAlignment="1">
      <alignment horizontal="left" vertical="center"/>
    </xf>
    <xf numFmtId="0" fontId="34" fillId="33" borderId="0" xfId="0" applyFont="1" applyFill="1" applyBorder="1" applyAlignment="1">
      <alignment horizontal="left"/>
    </xf>
    <xf numFmtId="0" fontId="9" fillId="33" borderId="11" xfId="0" applyFont="1" applyFill="1" applyBorder="1" applyAlignment="1">
      <alignment vertical="justify"/>
    </xf>
    <xf numFmtId="0" fontId="9" fillId="33" borderId="11" xfId="0" applyFont="1" applyFill="1" applyBorder="1" applyAlignment="1">
      <alignment/>
    </xf>
    <xf numFmtId="0" fontId="0" fillId="33" borderId="18" xfId="0" applyFont="1" applyFill="1" applyBorder="1" applyAlignment="1">
      <alignment vertical="center"/>
    </xf>
    <xf numFmtId="173" fontId="6" fillId="33" borderId="15" xfId="0" applyNumberFormat="1" applyFont="1" applyFill="1" applyBorder="1" applyAlignment="1">
      <alignment horizontal="center"/>
    </xf>
    <xf numFmtId="0" fontId="35" fillId="33" borderId="17" xfId="0" applyFont="1" applyFill="1" applyBorder="1" applyAlignment="1">
      <alignment horizontal="center"/>
    </xf>
    <xf numFmtId="170" fontId="35" fillId="33" borderId="15" xfId="0" applyNumberFormat="1" applyFont="1" applyFill="1" applyBorder="1" applyAlignment="1">
      <alignment horizontal="center"/>
    </xf>
    <xf numFmtId="171" fontId="6" fillId="33" borderId="0" xfId="0" applyNumberFormat="1" applyFont="1" applyFill="1" applyBorder="1" applyAlignment="1">
      <alignment horizontal="center" vertical="center"/>
    </xf>
    <xf numFmtId="171" fontId="6" fillId="33" borderId="17" xfId="0" applyNumberFormat="1" applyFont="1" applyFill="1" applyBorder="1" applyAlignment="1">
      <alignment horizontal="center" vertical="center"/>
    </xf>
    <xf numFmtId="170" fontId="15" fillId="33" borderId="15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166" fontId="0" fillId="33" borderId="0" xfId="0" applyNumberFormat="1" applyFont="1" applyFill="1" applyBorder="1" applyAlignment="1">
      <alignment horizontal="center"/>
    </xf>
    <xf numFmtId="173" fontId="7" fillId="33" borderId="0" xfId="0" applyNumberFormat="1" applyFont="1" applyFill="1" applyBorder="1" applyAlignment="1">
      <alignment horizontal="center"/>
    </xf>
    <xf numFmtId="205" fontId="0" fillId="33" borderId="0" xfId="0" applyNumberFormat="1" applyFont="1" applyFill="1" applyBorder="1" applyAlignment="1">
      <alignment horizontal="center"/>
    </xf>
    <xf numFmtId="206" fontId="0" fillId="33" borderId="0" xfId="0" applyNumberFormat="1" applyFont="1" applyFill="1" applyBorder="1" applyAlignment="1">
      <alignment horizontal="center"/>
    </xf>
    <xf numFmtId="173" fontId="0" fillId="33" borderId="0" xfId="0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vertical="justify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169" fontId="4" fillId="33" borderId="15" xfId="0" applyNumberFormat="1" applyFont="1" applyFill="1" applyBorder="1" applyAlignment="1">
      <alignment horizontal="center"/>
    </xf>
    <xf numFmtId="169" fontId="6" fillId="33" borderId="15" xfId="0" applyNumberFormat="1" applyFont="1" applyFill="1" applyBorder="1" applyAlignment="1">
      <alignment horizontal="center"/>
    </xf>
    <xf numFmtId="166" fontId="4" fillId="33" borderId="15" xfId="0" applyNumberFormat="1" applyFont="1" applyFill="1" applyBorder="1" applyAlignment="1">
      <alignment horizontal="center"/>
    </xf>
    <xf numFmtId="173" fontId="4" fillId="33" borderId="15" xfId="0" applyNumberFormat="1" applyFont="1" applyFill="1" applyBorder="1" applyAlignment="1">
      <alignment horizontal="center"/>
    </xf>
    <xf numFmtId="205" fontId="4" fillId="33" borderId="15" xfId="0" applyNumberFormat="1" applyFont="1" applyFill="1" applyBorder="1" applyAlignment="1">
      <alignment horizontal="center"/>
    </xf>
    <xf numFmtId="206" fontId="6" fillId="33" borderId="15" xfId="0" applyNumberFormat="1" applyFont="1" applyFill="1" applyBorder="1" applyAlignment="1">
      <alignment horizontal="center"/>
    </xf>
    <xf numFmtId="173" fontId="15" fillId="33" borderId="15" xfId="0" applyNumberFormat="1" applyFont="1" applyFill="1" applyBorder="1" applyAlignment="1">
      <alignment horizontal="center"/>
    </xf>
    <xf numFmtId="205" fontId="6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164" fontId="0" fillId="33" borderId="17" xfId="0" applyNumberFormat="1" applyFont="1" applyFill="1" applyBorder="1" applyAlignment="1">
      <alignment/>
    </xf>
    <xf numFmtId="0" fontId="18" fillId="33" borderId="0" xfId="0" applyFont="1" applyFill="1" applyAlignment="1">
      <alignment/>
    </xf>
    <xf numFmtId="169" fontId="0" fillId="33" borderId="0" xfId="0" applyNumberFormat="1" applyFont="1" applyFill="1" applyBorder="1" applyAlignment="1">
      <alignment horizontal="center"/>
    </xf>
    <xf numFmtId="170" fontId="0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170" fontId="35" fillId="33" borderId="0" xfId="0" applyNumberFormat="1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165" fontId="15" fillId="33" borderId="0" xfId="0" applyNumberFormat="1" applyFont="1" applyFill="1" applyBorder="1" applyAlignment="1">
      <alignment vertical="center"/>
    </xf>
    <xf numFmtId="165" fontId="15" fillId="33" borderId="15" xfId="0" applyNumberFormat="1" applyFont="1" applyFill="1" applyBorder="1" applyAlignment="1">
      <alignment vertical="center"/>
    </xf>
    <xf numFmtId="173" fontId="4" fillId="33" borderId="0" xfId="0" applyNumberFormat="1" applyFont="1" applyFill="1" applyBorder="1" applyAlignment="1">
      <alignment horizontal="center" vertical="center"/>
    </xf>
    <xf numFmtId="166" fontId="6" fillId="33" borderId="15" xfId="0" applyNumberFormat="1" applyFont="1" applyFill="1" applyBorder="1" applyAlignment="1">
      <alignment horizontal="center" vertical="center"/>
    </xf>
    <xf numFmtId="166" fontId="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170" fontId="35" fillId="33" borderId="15" xfId="0" applyNumberFormat="1" applyFont="1" applyFill="1" applyBorder="1" applyAlignment="1">
      <alignment horizontal="center" vertical="center"/>
    </xf>
    <xf numFmtId="170" fontId="6" fillId="33" borderId="15" xfId="0" applyNumberFormat="1" applyFont="1" applyFill="1" applyBorder="1" applyAlignment="1">
      <alignment horizontal="center" vertical="center"/>
    </xf>
    <xf numFmtId="205" fontId="6" fillId="33" borderId="15" xfId="0" applyNumberFormat="1" applyFont="1" applyFill="1" applyBorder="1" applyAlignment="1">
      <alignment horizontal="center" vertical="center"/>
    </xf>
    <xf numFmtId="173" fontId="0" fillId="33" borderId="0" xfId="0" applyNumberFormat="1" applyFont="1" applyFill="1" applyBorder="1" applyAlignment="1">
      <alignment/>
    </xf>
    <xf numFmtId="173" fontId="0" fillId="33" borderId="14" xfId="0" applyNumberFormat="1" applyFont="1" applyFill="1" applyBorder="1" applyAlignment="1">
      <alignment/>
    </xf>
    <xf numFmtId="170" fontId="0" fillId="33" borderId="17" xfId="0" applyNumberFormat="1" applyFont="1" applyFill="1" applyBorder="1" applyAlignment="1">
      <alignment horizontal="right"/>
    </xf>
    <xf numFmtId="170" fontId="0" fillId="33" borderId="0" xfId="0" applyNumberFormat="1" applyFont="1" applyFill="1" applyBorder="1" applyAlignment="1">
      <alignment vertical="center"/>
    </xf>
    <xf numFmtId="173" fontId="63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165" fontId="5" fillId="33" borderId="19" xfId="0" applyNumberFormat="1" applyFont="1" applyFill="1" applyBorder="1" applyAlignment="1">
      <alignment horizontal="center"/>
    </xf>
    <xf numFmtId="165" fontId="5" fillId="33" borderId="17" xfId="0" applyNumberFormat="1" applyFont="1" applyFill="1" applyBorder="1" applyAlignment="1">
      <alignment horizontal="center"/>
    </xf>
    <xf numFmtId="165" fontId="5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 horizontal="center"/>
    </xf>
    <xf numFmtId="201" fontId="5" fillId="33" borderId="16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209" fontId="0" fillId="33" borderId="0" xfId="0" applyNumberFormat="1" applyFill="1" applyBorder="1" applyAlignment="1">
      <alignment horizontal="left"/>
    </xf>
    <xf numFmtId="210" fontId="0" fillId="33" borderId="14" xfId="0" applyNumberFormat="1" applyFill="1" applyBorder="1" applyAlignment="1">
      <alignment horizontal="right"/>
    </xf>
    <xf numFmtId="210" fontId="0" fillId="33" borderId="0" xfId="0" applyNumberFormat="1" applyFill="1" applyBorder="1" applyAlignment="1">
      <alignment horizontal="right"/>
    </xf>
    <xf numFmtId="207" fontId="0" fillId="33" borderId="0" xfId="0" applyNumberFormat="1" applyFont="1" applyFill="1" applyBorder="1" applyAlignment="1">
      <alignment/>
    </xf>
    <xf numFmtId="170" fontId="4" fillId="33" borderId="22" xfId="0" applyNumberFormat="1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166" fontId="6" fillId="33" borderId="15" xfId="0" applyNumberFormat="1" applyFont="1" applyFill="1" applyBorder="1" applyAlignment="1">
      <alignment horizontal="center"/>
    </xf>
    <xf numFmtId="210" fontId="0" fillId="33" borderId="0" xfId="0" applyNumberFormat="1" applyFont="1" applyFill="1" applyBorder="1" applyAlignment="1">
      <alignment/>
    </xf>
    <xf numFmtId="210" fontId="0" fillId="33" borderId="13" xfId="0" applyNumberFormat="1" applyFont="1" applyFill="1" applyBorder="1" applyAlignment="1">
      <alignment/>
    </xf>
    <xf numFmtId="209" fontId="0" fillId="33" borderId="13" xfId="0" applyNumberForma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173" fontId="9" fillId="33" borderId="0" xfId="0" applyNumberFormat="1" applyFont="1" applyFill="1" applyBorder="1" applyAlignment="1">
      <alignment horizontal="left"/>
    </xf>
    <xf numFmtId="208" fontId="63" fillId="33" borderId="0" xfId="0" applyNumberFormat="1" applyFont="1" applyFill="1" applyBorder="1" applyAlignment="1">
      <alignment horizontal="center"/>
    </xf>
    <xf numFmtId="173" fontId="63" fillId="33" borderId="17" xfId="0" applyNumberFormat="1" applyFont="1" applyFill="1" applyBorder="1" applyAlignment="1">
      <alignment horizontal="right"/>
    </xf>
    <xf numFmtId="166" fontId="4" fillId="33" borderId="0" xfId="0" applyNumberFormat="1" applyFont="1" applyFill="1" applyBorder="1" applyAlignment="1">
      <alignment horizontal="center"/>
    </xf>
    <xf numFmtId="173" fontId="4" fillId="33" borderId="0" xfId="0" applyNumberFormat="1" applyFont="1" applyFill="1" applyBorder="1" applyAlignment="1">
      <alignment horizontal="center"/>
    </xf>
    <xf numFmtId="173" fontId="35" fillId="33" borderId="0" xfId="0" applyNumberFormat="1" applyFont="1" applyFill="1" applyBorder="1" applyAlignment="1">
      <alignment horizontal="center"/>
    </xf>
    <xf numFmtId="205" fontId="6" fillId="33" borderId="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 vertical="center"/>
    </xf>
    <xf numFmtId="0" fontId="36" fillId="33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33" borderId="0" xfId="0" applyNumberFormat="1" applyFont="1" applyFill="1" applyBorder="1" applyAlignment="1">
      <alignment horizontal="left"/>
    </xf>
    <xf numFmtId="170" fontId="6" fillId="33" borderId="15" xfId="0" applyNumberFormat="1" applyFont="1" applyFill="1" applyBorder="1" applyAlignment="1">
      <alignment horizontal="center"/>
    </xf>
    <xf numFmtId="211" fontId="6" fillId="33" borderId="0" xfId="0" applyNumberFormat="1" applyFont="1" applyFill="1" applyBorder="1" applyAlignment="1">
      <alignment horizontal="center"/>
    </xf>
    <xf numFmtId="211" fontId="4" fillId="33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04" fontId="35" fillId="33" borderId="15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213" fontId="6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215" fontId="0" fillId="33" borderId="0" xfId="0" applyNumberFormat="1" applyFont="1" applyFill="1" applyBorder="1" applyAlignment="1">
      <alignment horizontal="left"/>
    </xf>
    <xf numFmtId="170" fontId="4" fillId="33" borderId="0" xfId="0" applyNumberFormat="1" applyFont="1" applyFill="1" applyBorder="1" applyAlignment="1">
      <alignment horizontal="center"/>
    </xf>
    <xf numFmtId="170" fontId="6" fillId="33" borderId="0" xfId="0" applyNumberFormat="1" applyFont="1" applyFill="1" applyBorder="1" applyAlignment="1">
      <alignment horizontal="center"/>
    </xf>
    <xf numFmtId="204" fontId="35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61" fillId="33" borderId="14" xfId="0" applyFont="1" applyFill="1" applyBorder="1" applyAlignment="1">
      <alignment/>
    </xf>
    <xf numFmtId="204" fontId="7" fillId="33" borderId="0" xfId="0" applyNumberFormat="1" applyFont="1" applyFill="1" applyBorder="1" applyAlignment="1">
      <alignment horizontal="center"/>
    </xf>
    <xf numFmtId="204" fontId="64" fillId="33" borderId="0" xfId="0" applyNumberFormat="1" applyFont="1" applyFill="1" applyBorder="1" applyAlignment="1">
      <alignment horizontal="center"/>
    </xf>
    <xf numFmtId="205" fontId="61" fillId="33" borderId="0" xfId="0" applyNumberFormat="1" applyFont="1" applyFill="1" applyBorder="1" applyAlignment="1">
      <alignment horizontal="center"/>
    </xf>
    <xf numFmtId="216" fontId="0" fillId="33" borderId="0" xfId="0" applyNumberFormat="1" applyFont="1" applyFill="1" applyBorder="1" applyAlignment="1">
      <alignment vertical="top" textRotation="22"/>
    </xf>
    <xf numFmtId="217" fontId="0" fillId="33" borderId="0" xfId="0" applyNumberFormat="1" applyFont="1" applyFill="1" applyBorder="1" applyAlignment="1">
      <alignment horizontal="right"/>
    </xf>
    <xf numFmtId="216" fontId="0" fillId="33" borderId="0" xfId="0" applyNumberFormat="1" applyFont="1" applyFill="1" applyBorder="1" applyAlignment="1">
      <alignment horizontal="center" vertical="top"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204" fontId="0" fillId="33" borderId="0" xfId="0" applyNumberFormat="1" applyFont="1" applyFill="1" applyBorder="1" applyAlignment="1">
      <alignment horizontal="center"/>
    </xf>
    <xf numFmtId="168" fontId="4" fillId="33" borderId="15" xfId="0" applyNumberFormat="1" applyFont="1" applyFill="1" applyBorder="1" applyAlignment="1">
      <alignment horizontal="left"/>
    </xf>
    <xf numFmtId="171" fontId="15" fillId="33" borderId="0" xfId="0" applyNumberFormat="1" applyFont="1" applyFill="1" applyBorder="1" applyAlignment="1">
      <alignment horizontal="center" vertical="center"/>
    </xf>
    <xf numFmtId="204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204" fontId="0" fillId="33" borderId="0" xfId="0" applyNumberFormat="1" applyFont="1" applyFill="1" applyBorder="1" applyAlignment="1">
      <alignment horizontal="left"/>
    </xf>
    <xf numFmtId="205" fontId="0" fillId="33" borderId="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0" fillId="33" borderId="14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vertical="center"/>
    </xf>
    <xf numFmtId="219" fontId="6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33" borderId="19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211" fontId="0" fillId="33" borderId="0" xfId="0" applyNumberFormat="1" applyFont="1" applyFill="1" applyBorder="1" applyAlignment="1">
      <alignment horizontal="center"/>
    </xf>
    <xf numFmtId="179" fontId="6" fillId="33" borderId="0" xfId="0" applyNumberFormat="1" applyFont="1" applyFill="1" applyBorder="1" applyAlignment="1">
      <alignment horizontal="center"/>
    </xf>
    <xf numFmtId="179" fontId="4" fillId="33" borderId="0" xfId="0" applyNumberFormat="1" applyFont="1" applyFill="1" applyBorder="1" applyAlignment="1">
      <alignment horizontal="center"/>
    </xf>
    <xf numFmtId="175" fontId="6" fillId="33" borderId="0" xfId="0" applyNumberFormat="1" applyFont="1" applyFill="1" applyBorder="1" applyAlignment="1">
      <alignment horizontal="center" vertical="center"/>
    </xf>
    <xf numFmtId="175" fontId="4" fillId="33" borderId="0" xfId="0" applyNumberFormat="1" applyFont="1" applyFill="1" applyBorder="1" applyAlignment="1">
      <alignment horizontal="center" vertical="center"/>
    </xf>
    <xf numFmtId="166" fontId="15" fillId="33" borderId="15" xfId="0" applyNumberFormat="1" applyFont="1" applyFill="1" applyBorder="1" applyAlignment="1">
      <alignment horizontal="center"/>
    </xf>
    <xf numFmtId="169" fontId="15" fillId="33" borderId="15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vertical="center"/>
    </xf>
    <xf numFmtId="2" fontId="4" fillId="33" borderId="13" xfId="0" applyNumberFormat="1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216" fontId="0" fillId="33" borderId="13" xfId="0" applyNumberFormat="1" applyFont="1" applyFill="1" applyBorder="1" applyAlignment="1">
      <alignment vertical="top" textRotation="22"/>
    </xf>
    <xf numFmtId="211" fontId="6" fillId="33" borderId="15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2" fontId="0" fillId="33" borderId="0" xfId="0" applyNumberFormat="1" applyFont="1" applyFill="1" applyBorder="1" applyAlignment="1">
      <alignment horizontal="left" vertical="center"/>
    </xf>
    <xf numFmtId="216" fontId="0" fillId="33" borderId="0" xfId="0" applyNumberFormat="1" applyFont="1" applyFill="1" applyBorder="1" applyAlignment="1">
      <alignment horizontal="left" vertical="top"/>
    </xf>
    <xf numFmtId="167" fontId="6" fillId="33" borderId="0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220" fontId="6" fillId="33" borderId="15" xfId="0" applyNumberFormat="1" applyFont="1" applyFill="1" applyBorder="1" applyAlignment="1">
      <alignment horizontal="center"/>
    </xf>
    <xf numFmtId="221" fontId="6" fillId="33" borderId="15" xfId="0" applyNumberFormat="1" applyFont="1" applyFill="1" applyBorder="1" applyAlignment="1">
      <alignment horizontal="center"/>
    </xf>
    <xf numFmtId="218" fontId="0" fillId="33" borderId="0" xfId="0" applyNumberFormat="1" applyFont="1" applyFill="1" applyBorder="1" applyAlignment="1">
      <alignment textRotation="90"/>
    </xf>
    <xf numFmtId="0" fontId="0" fillId="33" borderId="0" xfId="0" applyNumberFormat="1" applyFont="1" applyFill="1" applyBorder="1" applyAlignment="1">
      <alignment horizontal="center" vertical="center"/>
    </xf>
    <xf numFmtId="12" fontId="0" fillId="33" borderId="0" xfId="0" applyNumberFormat="1" applyFont="1" applyFill="1" applyBorder="1" applyAlignment="1">
      <alignment horizontal="center" vertical="center"/>
    </xf>
    <xf numFmtId="12" fontId="0" fillId="33" borderId="17" xfId="0" applyNumberFormat="1" applyFont="1" applyFill="1" applyBorder="1" applyAlignment="1">
      <alignment horizontal="center" vertical="center"/>
    </xf>
    <xf numFmtId="12" fontId="0" fillId="33" borderId="15" xfId="0" applyNumberFormat="1" applyFont="1" applyFill="1" applyBorder="1" applyAlignment="1">
      <alignment horizontal="center" vertical="center"/>
    </xf>
    <xf numFmtId="12" fontId="6" fillId="33" borderId="15" xfId="0" applyNumberFormat="1" applyFont="1" applyFill="1" applyBorder="1" applyAlignment="1">
      <alignment horizontal="center" vertical="center"/>
    </xf>
    <xf numFmtId="215" fontId="0" fillId="33" borderId="0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center" vertical="center"/>
    </xf>
    <xf numFmtId="0" fontId="40" fillId="33" borderId="15" xfId="0" applyNumberFormat="1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2" fontId="31" fillId="33" borderId="15" xfId="0" applyNumberFormat="1" applyFont="1" applyFill="1" applyBorder="1" applyAlignment="1">
      <alignment horizontal="center" vertical="center"/>
    </xf>
    <xf numFmtId="2" fontId="65" fillId="33" borderId="15" xfId="0" applyNumberFormat="1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 vertical="center"/>
    </xf>
    <xf numFmtId="0" fontId="18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4" fillId="33" borderId="0" xfId="0" applyNumberFormat="1" applyFont="1" applyFill="1" applyBorder="1" applyAlignment="1">
      <alignment vertical="center"/>
    </xf>
    <xf numFmtId="167" fontId="35" fillId="33" borderId="15" xfId="0" applyNumberFormat="1" applyFont="1" applyFill="1" applyBorder="1" applyAlignment="1">
      <alignment horizontal="center" vertical="center"/>
    </xf>
    <xf numFmtId="222" fontId="35" fillId="33" borderId="15" xfId="0" applyNumberFormat="1" applyFont="1" applyFill="1" applyBorder="1" applyAlignment="1">
      <alignment horizontal="center"/>
    </xf>
    <xf numFmtId="178" fontId="35" fillId="33" borderId="15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2" fontId="0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vertical="center"/>
    </xf>
    <xf numFmtId="199" fontId="32" fillId="33" borderId="0" xfId="0" applyNumberFormat="1" applyFont="1" applyFill="1" applyBorder="1" applyAlignment="1">
      <alignment vertical="center"/>
    </xf>
    <xf numFmtId="199" fontId="32" fillId="33" borderId="17" xfId="0" applyNumberFormat="1" applyFont="1" applyFill="1" applyBorder="1" applyAlignment="1">
      <alignment vertical="center"/>
    </xf>
    <xf numFmtId="199" fontId="32" fillId="33" borderId="0" xfId="0" applyNumberFormat="1" applyFont="1" applyFill="1" applyBorder="1" applyAlignment="1">
      <alignment horizontal="left" vertical="center"/>
    </xf>
    <xf numFmtId="0" fontId="31" fillId="33" borderId="14" xfId="0" applyFont="1" applyFill="1" applyBorder="1" applyAlignment="1">
      <alignment horizontal="distributed" vertical="center"/>
    </xf>
    <xf numFmtId="0" fontId="31" fillId="33" borderId="0" xfId="0" applyFont="1" applyFill="1" applyBorder="1" applyAlignment="1">
      <alignment vertical="center"/>
    </xf>
    <xf numFmtId="2" fontId="7" fillId="33" borderId="14" xfId="0" applyNumberFormat="1" applyFont="1" applyFill="1" applyBorder="1" applyAlignment="1">
      <alignment horizontal="left"/>
    </xf>
    <xf numFmtId="0" fontId="41" fillId="33" borderId="15" xfId="0" applyFont="1" applyFill="1" applyBorder="1" applyAlignment="1">
      <alignment horizontal="centerContinuous" vertical="distributed"/>
    </xf>
    <xf numFmtId="0" fontId="18" fillId="33" borderId="0" xfId="0" applyNumberFormat="1" applyFont="1" applyFill="1" applyBorder="1" applyAlignment="1">
      <alignment horizontal="right" vertical="top"/>
    </xf>
    <xf numFmtId="0" fontId="0" fillId="33" borderId="0" xfId="0" applyFill="1" applyBorder="1" applyAlignment="1">
      <alignment horizontal="left" vertical="center"/>
    </xf>
    <xf numFmtId="2" fontId="6" fillId="33" borderId="0" xfId="0" applyNumberFormat="1" applyFont="1" applyFill="1" applyBorder="1" applyAlignment="1">
      <alignment horizontal="left" vertical="center"/>
    </xf>
    <xf numFmtId="167" fontId="15" fillId="33" borderId="0" xfId="0" applyNumberFormat="1" applyFont="1" applyFill="1" applyBorder="1" applyAlignment="1">
      <alignment horizontal="center" vertical="center"/>
    </xf>
    <xf numFmtId="169" fontId="15" fillId="33" borderId="0" xfId="0" applyNumberFormat="1" applyFont="1" applyFill="1" applyBorder="1" applyAlignment="1">
      <alignment horizontal="center" vertical="center"/>
    </xf>
    <xf numFmtId="178" fontId="15" fillId="33" borderId="0" xfId="0" applyNumberFormat="1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223" fontId="34" fillId="33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22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225" fontId="0" fillId="0" borderId="0" xfId="0" applyNumberFormat="1" applyBorder="1" applyAlignment="1">
      <alignment horizontal="center" vertical="center"/>
    </xf>
    <xf numFmtId="226" fontId="0" fillId="0" borderId="0" xfId="0" applyNumberFormat="1" applyBorder="1" applyAlignment="1">
      <alignment horizontal="center" vertical="center"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4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15" xfId="0" applyNumberFormat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228" fontId="0" fillId="33" borderId="0" xfId="0" applyNumberFormat="1" applyFont="1" applyFill="1" applyAlignment="1">
      <alignment vertical="center"/>
    </xf>
    <xf numFmtId="227" fontId="0" fillId="33" borderId="0" xfId="0" applyNumberFormat="1" applyFont="1" applyFill="1" applyAlignment="1">
      <alignment vertical="center"/>
    </xf>
    <xf numFmtId="49" fontId="18" fillId="33" borderId="0" xfId="0" applyNumberFormat="1" applyFont="1" applyFill="1" applyBorder="1" applyAlignment="1">
      <alignment vertical="center"/>
    </xf>
    <xf numFmtId="0" fontId="18" fillId="33" borderId="17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228" fontId="0" fillId="33" borderId="17" xfId="0" applyNumberFormat="1" applyFont="1" applyFill="1" applyBorder="1" applyAlignment="1">
      <alignment vertical="center"/>
    </xf>
    <xf numFmtId="227" fontId="0" fillId="33" borderId="17" xfId="0" applyNumberFormat="1" applyFont="1" applyFill="1" applyBorder="1" applyAlignment="1">
      <alignment vertical="center"/>
    </xf>
    <xf numFmtId="2" fontId="0" fillId="33" borderId="17" xfId="0" applyNumberFormat="1" applyFill="1" applyBorder="1" applyAlignment="1">
      <alignment/>
    </xf>
    <xf numFmtId="166" fontId="4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/>
    </xf>
    <xf numFmtId="2" fontId="6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right"/>
    </xf>
    <xf numFmtId="170" fontId="4" fillId="33" borderId="17" xfId="0" applyNumberFormat="1" applyFont="1" applyFill="1" applyBorder="1" applyAlignment="1">
      <alignment horizontal="left" vertical="center"/>
    </xf>
    <xf numFmtId="230" fontId="4" fillId="33" borderId="17" xfId="0" applyNumberFormat="1" applyFont="1" applyFill="1" applyBorder="1" applyAlignment="1">
      <alignment horizontal="left" vertical="center"/>
    </xf>
    <xf numFmtId="2" fontId="6" fillId="33" borderId="17" xfId="0" applyNumberFormat="1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right"/>
    </xf>
    <xf numFmtId="2" fontId="6" fillId="33" borderId="16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right"/>
    </xf>
    <xf numFmtId="169" fontId="4" fillId="33" borderId="19" xfId="0" applyNumberFormat="1" applyFont="1" applyFill="1" applyBorder="1" applyAlignment="1">
      <alignment horizontal="left" vertical="center"/>
    </xf>
    <xf numFmtId="166" fontId="4" fillId="33" borderId="17" xfId="0" applyNumberFormat="1" applyFont="1" applyFill="1" applyBorder="1" applyAlignment="1">
      <alignment horizontal="left" vertical="center"/>
    </xf>
    <xf numFmtId="166" fontId="4" fillId="33" borderId="16" xfId="0" applyNumberFormat="1" applyFont="1" applyFill="1" applyBorder="1" applyAlignment="1">
      <alignment horizontal="left" vertical="center"/>
    </xf>
    <xf numFmtId="170" fontId="4" fillId="33" borderId="19" xfId="0" applyNumberFormat="1" applyFont="1" applyFill="1" applyBorder="1" applyAlignment="1">
      <alignment horizontal="left" vertical="center"/>
    </xf>
    <xf numFmtId="168" fontId="4" fillId="33" borderId="19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1" fontId="6" fillId="33" borderId="17" xfId="0" applyNumberFormat="1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right"/>
    </xf>
    <xf numFmtId="0" fontId="34" fillId="33" borderId="18" xfId="0" applyFont="1" applyFill="1" applyBorder="1" applyAlignment="1">
      <alignment/>
    </xf>
    <xf numFmtId="0" fontId="34" fillId="33" borderId="20" xfId="0" applyFont="1" applyFill="1" applyBorder="1" applyAlignment="1">
      <alignment horizontal="center" vertical="center"/>
    </xf>
    <xf numFmtId="2" fontId="50" fillId="33" borderId="21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199" fontId="18" fillId="33" borderId="0" xfId="0" applyNumberFormat="1" applyFont="1" applyFill="1" applyBorder="1" applyAlignment="1">
      <alignment horizontal="left" vertical="center"/>
    </xf>
    <xf numFmtId="199" fontId="18" fillId="33" borderId="17" xfId="0" applyNumberFormat="1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center" vertical="distributed"/>
    </xf>
    <xf numFmtId="0" fontId="0" fillId="33" borderId="15" xfId="0" applyFill="1" applyBorder="1" applyAlignment="1">
      <alignment/>
    </xf>
    <xf numFmtId="200" fontId="4" fillId="33" borderId="15" xfId="0" applyNumberFormat="1" applyFont="1" applyFill="1" applyBorder="1" applyAlignment="1">
      <alignment horizontal="center" vertical="center"/>
    </xf>
    <xf numFmtId="231" fontId="15" fillId="33" borderId="15" xfId="0" applyNumberFormat="1" applyFont="1" applyFill="1" applyBorder="1" applyAlignment="1">
      <alignment horizontal="center" vertical="center"/>
    </xf>
    <xf numFmtId="0" fontId="30" fillId="33" borderId="21" xfId="0" applyFont="1" applyFill="1" applyBorder="1" applyAlignment="1">
      <alignment horizontal="center" vertical="distributed"/>
    </xf>
    <xf numFmtId="199" fontId="32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8" xfId="0" applyFont="1" applyFill="1" applyBorder="1" applyAlignment="1">
      <alignment/>
    </xf>
    <xf numFmtId="164" fontId="6" fillId="33" borderId="15" xfId="0" applyNumberFormat="1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224" fontId="6" fillId="33" borderId="15" xfId="0" applyNumberFormat="1" applyFont="1" applyFill="1" applyBorder="1" applyAlignment="1">
      <alignment horizontal="center" vertical="center"/>
    </xf>
    <xf numFmtId="2" fontId="63" fillId="33" borderId="15" xfId="0" applyNumberFormat="1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34" fillId="33" borderId="0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/>
    </xf>
    <xf numFmtId="0" fontId="34" fillId="33" borderId="25" xfId="0" applyFont="1" applyFill="1" applyBorder="1" applyAlignment="1">
      <alignment horizontal="center" vertical="center"/>
    </xf>
    <xf numFmtId="0" fontId="34" fillId="33" borderId="25" xfId="0" applyFont="1" applyFill="1" applyBorder="1" applyAlignment="1">
      <alignment horizontal="left"/>
    </xf>
    <xf numFmtId="0" fontId="0" fillId="33" borderId="25" xfId="0" applyFill="1" applyBorder="1" applyAlignment="1">
      <alignment horizontal="center" vertical="center"/>
    </xf>
    <xf numFmtId="0" fontId="0" fillId="33" borderId="25" xfId="0" applyFill="1" applyBorder="1" applyAlignment="1">
      <alignment horizontal="left"/>
    </xf>
    <xf numFmtId="2" fontId="6" fillId="33" borderId="18" xfId="0" applyNumberFormat="1" applyFont="1" applyFill="1" applyBorder="1" applyAlignment="1">
      <alignment horizontal="right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5" xfId="0" applyFill="1" applyBorder="1" applyAlignment="1">
      <alignment/>
    </xf>
    <xf numFmtId="0" fontId="0" fillId="33" borderId="0" xfId="0" applyFont="1" applyFill="1" applyBorder="1" applyAlignment="1">
      <alignment horizontal="right" vertical="center"/>
    </xf>
    <xf numFmtId="224" fontId="6" fillId="33" borderId="0" xfId="0" applyNumberFormat="1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right" vertical="center"/>
    </xf>
    <xf numFmtId="0" fontId="0" fillId="33" borderId="25" xfId="0" applyFont="1" applyFill="1" applyBorder="1" applyAlignment="1">
      <alignment horizontal="left"/>
    </xf>
    <xf numFmtId="224" fontId="6" fillId="33" borderId="25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left"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31" fillId="33" borderId="28" xfId="0" applyFont="1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30" fillId="33" borderId="0" xfId="0" applyFont="1" applyFill="1" applyBorder="1" applyAlignment="1">
      <alignment/>
    </xf>
    <xf numFmtId="0" fontId="30" fillId="33" borderId="0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2" fontId="15" fillId="33" borderId="15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top"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/>
    </xf>
    <xf numFmtId="202" fontId="4" fillId="33" borderId="20" xfId="0" applyNumberFormat="1" applyFont="1" applyFill="1" applyBorder="1" applyAlignment="1">
      <alignment horizontal="left" vertical="center"/>
    </xf>
    <xf numFmtId="165" fontId="35" fillId="33" borderId="0" xfId="0" applyNumberFormat="1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right" vertical="center"/>
    </xf>
    <xf numFmtId="2" fontId="15" fillId="33" borderId="0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3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 vertical="center"/>
    </xf>
    <xf numFmtId="173" fontId="6" fillId="33" borderId="20" xfId="0" applyNumberFormat="1" applyFont="1" applyFill="1" applyBorder="1" applyAlignment="1">
      <alignment horizontal="center"/>
    </xf>
    <xf numFmtId="165" fontId="5" fillId="33" borderId="15" xfId="0" applyNumberFormat="1" applyFont="1" applyFill="1" applyBorder="1" applyAlignment="1">
      <alignment horizontal="center" vertical="center"/>
    </xf>
    <xf numFmtId="234" fontId="4" fillId="33" borderId="15" xfId="0" applyNumberFormat="1" applyFont="1" applyFill="1" applyBorder="1" applyAlignment="1">
      <alignment horizontal="center"/>
    </xf>
    <xf numFmtId="234" fontId="4" fillId="33" borderId="15" xfId="0" applyNumberFormat="1" applyFont="1" applyFill="1" applyBorder="1" applyAlignment="1">
      <alignment horizontal="center" vertical="center"/>
    </xf>
    <xf numFmtId="235" fontId="4" fillId="33" borderId="15" xfId="0" applyNumberFormat="1" applyFont="1" applyFill="1" applyBorder="1" applyAlignment="1">
      <alignment horizontal="center" vertical="center"/>
    </xf>
    <xf numFmtId="236" fontId="6" fillId="33" borderId="15" xfId="0" applyNumberFormat="1" applyFont="1" applyFill="1" applyBorder="1" applyAlignment="1">
      <alignment horizontal="center" vertical="center"/>
    </xf>
    <xf numFmtId="237" fontId="4" fillId="33" borderId="15" xfId="0" applyNumberFormat="1" applyFont="1" applyFill="1" applyBorder="1" applyAlignment="1">
      <alignment horizontal="center" vertical="center"/>
    </xf>
    <xf numFmtId="173" fontId="4" fillId="33" borderId="15" xfId="0" applyNumberFormat="1" applyFont="1" applyFill="1" applyBorder="1" applyAlignment="1">
      <alignment horizontal="center"/>
    </xf>
    <xf numFmtId="238" fontId="15" fillId="33" borderId="15" xfId="0" applyNumberFormat="1" applyFont="1" applyFill="1" applyBorder="1" applyAlignment="1">
      <alignment horizontal="center"/>
    </xf>
    <xf numFmtId="169" fontId="15" fillId="33" borderId="15" xfId="0" applyNumberFormat="1" applyFont="1" applyFill="1" applyBorder="1" applyAlignment="1">
      <alignment horizontal="center" vertical="center"/>
    </xf>
    <xf numFmtId="238" fontId="6" fillId="33" borderId="15" xfId="0" applyNumberFormat="1" applyFont="1" applyFill="1" applyBorder="1" applyAlignment="1">
      <alignment horizontal="center"/>
    </xf>
    <xf numFmtId="173" fontId="4" fillId="33" borderId="21" xfId="0" applyNumberFormat="1" applyFont="1" applyFill="1" applyBorder="1" applyAlignment="1">
      <alignment horizontal="center"/>
    </xf>
    <xf numFmtId="173" fontId="6" fillId="33" borderId="21" xfId="0" applyNumberFormat="1" applyFont="1" applyFill="1" applyBorder="1" applyAlignment="1">
      <alignment horizontal="center"/>
    </xf>
    <xf numFmtId="234" fontId="6" fillId="33" borderId="15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36" fillId="33" borderId="15" xfId="0" applyFont="1" applyFill="1" applyBorder="1" applyAlignment="1">
      <alignment vertical="center"/>
    </xf>
    <xf numFmtId="0" fontId="0" fillId="33" borderId="18" xfId="0" applyFill="1" applyBorder="1" applyAlignment="1">
      <alignment/>
    </xf>
    <xf numFmtId="167" fontId="6" fillId="33" borderId="24" xfId="0" applyNumberFormat="1" applyFont="1" applyFill="1" applyBorder="1" applyAlignment="1">
      <alignment horizontal="center" vertical="center"/>
    </xf>
    <xf numFmtId="167" fontId="15" fillId="33" borderId="24" xfId="0" applyNumberFormat="1" applyFont="1" applyFill="1" applyBorder="1" applyAlignment="1">
      <alignment horizontal="center" vertical="center"/>
    </xf>
    <xf numFmtId="238" fontId="15" fillId="33" borderId="15" xfId="0" applyNumberFormat="1" applyFont="1" applyFill="1" applyBorder="1" applyAlignment="1">
      <alignment horizontal="center" vertical="center"/>
    </xf>
    <xf numFmtId="203" fontId="4" fillId="33" borderId="18" xfId="0" applyNumberFormat="1" applyFont="1" applyFill="1" applyBorder="1" applyAlignment="1">
      <alignment vertical="center"/>
    </xf>
    <xf numFmtId="239" fontId="6" fillId="33" borderId="15" xfId="0" applyNumberFormat="1" applyFont="1" applyFill="1" applyBorder="1" applyAlignment="1">
      <alignment horizontal="center"/>
    </xf>
    <xf numFmtId="239" fontId="4" fillId="33" borderId="15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240" fontId="6" fillId="33" borderId="15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27" xfId="0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22" xfId="0" applyFill="1" applyBorder="1" applyAlignment="1">
      <alignment horizontal="center" vertical="top"/>
    </xf>
    <xf numFmtId="0" fontId="0" fillId="33" borderId="23" xfId="0" applyFill="1" applyBorder="1" applyAlignment="1">
      <alignment horizontal="center" vertical="top"/>
    </xf>
    <xf numFmtId="0" fontId="90" fillId="33" borderId="0" xfId="58" applyFill="1" applyAlignment="1">
      <alignment horizontal="center"/>
      <protection/>
    </xf>
    <xf numFmtId="0" fontId="90" fillId="33" borderId="0" xfId="58" applyFill="1" applyBorder="1" applyAlignment="1">
      <alignment horizontal="center"/>
      <protection/>
    </xf>
    <xf numFmtId="0" fontId="90" fillId="33" borderId="13" xfId="58" applyFill="1" applyBorder="1" applyAlignment="1">
      <alignment horizontal="center"/>
      <protection/>
    </xf>
    <xf numFmtId="0" fontId="90" fillId="33" borderId="11" xfId="58" applyFill="1" applyBorder="1" applyAlignment="1">
      <alignment horizontal="center"/>
      <protection/>
    </xf>
    <xf numFmtId="0" fontId="33" fillId="33" borderId="11" xfId="58" applyFont="1" applyFill="1" applyBorder="1" applyAlignment="1">
      <alignment horizontal="left" vertical="center"/>
      <protection/>
    </xf>
    <xf numFmtId="0" fontId="31" fillId="33" borderId="0" xfId="58" applyFont="1" applyFill="1" applyBorder="1" applyAlignment="1">
      <alignment horizontal="left" vertical="center"/>
      <protection/>
    </xf>
    <xf numFmtId="0" fontId="33" fillId="33" borderId="0" xfId="58" applyFont="1" applyFill="1" applyBorder="1" applyAlignment="1">
      <alignment horizontal="left" vertical="center"/>
      <protection/>
    </xf>
    <xf numFmtId="0" fontId="0" fillId="33" borderId="0" xfId="58" applyFont="1" applyFill="1" applyBorder="1" applyAlignment="1">
      <alignment horizontal="left" vertical="center"/>
      <protection/>
    </xf>
    <xf numFmtId="0" fontId="0" fillId="33" borderId="0" xfId="58" applyFont="1" applyFill="1" applyBorder="1" applyAlignment="1">
      <alignment horizontal="right" vertical="center"/>
      <protection/>
    </xf>
    <xf numFmtId="170" fontId="4" fillId="33" borderId="15" xfId="58" applyNumberFormat="1" applyFont="1" applyFill="1" applyBorder="1" applyAlignment="1">
      <alignment horizontal="left" vertical="center"/>
      <protection/>
    </xf>
    <xf numFmtId="0" fontId="0" fillId="33" borderId="0" xfId="58" applyFont="1" applyFill="1" applyBorder="1" applyAlignment="1">
      <alignment horizontal="center" vertical="center"/>
      <protection/>
    </xf>
    <xf numFmtId="170" fontId="4" fillId="33" borderId="0" xfId="58" applyNumberFormat="1" applyFont="1" applyFill="1" applyBorder="1" applyAlignment="1">
      <alignment horizontal="center" vertical="center"/>
      <protection/>
    </xf>
    <xf numFmtId="0" fontId="0" fillId="33" borderId="0" xfId="58" applyFont="1" applyFill="1" applyBorder="1">
      <alignment/>
      <protection/>
    </xf>
    <xf numFmtId="0" fontId="7" fillId="33" borderId="0" xfId="58" applyFont="1" applyFill="1" applyBorder="1" applyAlignment="1">
      <alignment horizontal="left"/>
      <protection/>
    </xf>
    <xf numFmtId="0" fontId="0" fillId="33" borderId="0" xfId="58" applyFont="1" applyFill="1" applyBorder="1" applyAlignment="1">
      <alignment horizontal="left"/>
      <protection/>
    </xf>
    <xf numFmtId="213" fontId="6" fillId="33" borderId="0" xfId="58" applyNumberFormat="1" applyFont="1" applyFill="1" applyBorder="1" applyAlignment="1">
      <alignment vertical="center"/>
      <protection/>
    </xf>
    <xf numFmtId="0" fontId="0" fillId="33" borderId="15" xfId="58" applyFont="1" applyFill="1" applyBorder="1">
      <alignment/>
      <protection/>
    </xf>
    <xf numFmtId="0" fontId="0" fillId="33" borderId="11" xfId="58" applyFont="1" applyFill="1" applyBorder="1" applyAlignment="1">
      <alignment horizontal="left"/>
      <protection/>
    </xf>
    <xf numFmtId="0" fontId="0" fillId="33" borderId="11" xfId="58" applyFont="1" applyFill="1" applyBorder="1" applyAlignment="1">
      <alignment horizontal="left" vertical="center"/>
      <protection/>
    </xf>
    <xf numFmtId="0" fontId="0" fillId="33" borderId="13" xfId="58" applyFont="1" applyFill="1" applyBorder="1" applyAlignment="1">
      <alignment vertical="center"/>
      <protection/>
    </xf>
    <xf numFmtId="0" fontId="0" fillId="33" borderId="13" xfId="58" applyFont="1" applyFill="1" applyBorder="1" applyAlignment="1">
      <alignment horizontal="left" vertical="center"/>
      <protection/>
    </xf>
    <xf numFmtId="175" fontId="6" fillId="33" borderId="11" xfId="58" applyNumberFormat="1" applyFont="1" applyFill="1" applyBorder="1" applyAlignment="1">
      <alignment horizontal="left" vertical="center"/>
      <protection/>
    </xf>
    <xf numFmtId="0" fontId="0" fillId="33" borderId="20" xfId="58" applyFont="1" applyFill="1" applyBorder="1" applyAlignment="1">
      <alignment vertical="center"/>
      <protection/>
    </xf>
    <xf numFmtId="0" fontId="90" fillId="33" borderId="0" xfId="58" applyFill="1" applyAlignment="1">
      <alignment horizontal="center" vertical="center"/>
      <protection/>
    </xf>
    <xf numFmtId="0" fontId="0" fillId="33" borderId="15" xfId="58" applyFont="1" applyFill="1" applyBorder="1" applyAlignment="1">
      <alignment horizontal="center" vertical="center"/>
      <protection/>
    </xf>
    <xf numFmtId="0" fontId="90" fillId="33" borderId="15" xfId="58" applyFill="1" applyBorder="1" applyAlignment="1">
      <alignment horizontal="center" vertical="center"/>
      <protection/>
    </xf>
    <xf numFmtId="0" fontId="4" fillId="33" borderId="15" xfId="58" applyNumberFormat="1" applyFont="1" applyFill="1" applyBorder="1" applyAlignment="1">
      <alignment horizontal="center" vertical="center"/>
      <protection/>
    </xf>
    <xf numFmtId="200" fontId="4" fillId="33" borderId="15" xfId="58" applyNumberFormat="1" applyFont="1" applyFill="1" applyBorder="1" applyAlignment="1">
      <alignment horizontal="center" vertical="center"/>
      <protection/>
    </xf>
    <xf numFmtId="2" fontId="6" fillId="33" borderId="15" xfId="58" applyNumberFormat="1" applyFont="1" applyFill="1" applyBorder="1" applyAlignment="1">
      <alignment horizontal="center" vertical="center"/>
      <protection/>
    </xf>
    <xf numFmtId="166" fontId="6" fillId="33" borderId="15" xfId="58" applyNumberFormat="1" applyFont="1" applyFill="1" applyBorder="1" applyAlignment="1">
      <alignment horizontal="center" vertical="center"/>
      <protection/>
    </xf>
    <xf numFmtId="165" fontId="15" fillId="33" borderId="15" xfId="58" applyNumberFormat="1" applyFont="1" applyFill="1" applyBorder="1" applyAlignment="1">
      <alignment horizontal="center" vertical="center"/>
      <protection/>
    </xf>
    <xf numFmtId="171" fontId="15" fillId="33" borderId="15" xfId="58" applyNumberFormat="1" applyFont="1" applyFill="1" applyBorder="1" applyAlignment="1">
      <alignment horizontal="center" vertical="center"/>
      <protection/>
    </xf>
    <xf numFmtId="2" fontId="0" fillId="33" borderId="15" xfId="58" applyNumberFormat="1" applyFont="1" applyFill="1" applyBorder="1" applyAlignment="1">
      <alignment horizontal="center" vertical="center"/>
      <protection/>
    </xf>
    <xf numFmtId="164" fontId="0" fillId="33" borderId="15" xfId="58" applyNumberFormat="1" applyFont="1" applyFill="1" applyBorder="1" applyAlignment="1">
      <alignment horizontal="center" vertical="center"/>
      <protection/>
    </xf>
    <xf numFmtId="1" fontId="0" fillId="33" borderId="15" xfId="58" applyNumberFormat="1" applyFont="1" applyFill="1" applyBorder="1" applyAlignment="1">
      <alignment horizontal="center" vertical="center"/>
      <protection/>
    </xf>
    <xf numFmtId="2" fontId="90" fillId="33" borderId="15" xfId="58" applyNumberFormat="1" applyFill="1" applyBorder="1" applyAlignment="1">
      <alignment horizontal="center" vertical="center"/>
      <protection/>
    </xf>
    <xf numFmtId="0" fontId="0" fillId="33" borderId="18" xfId="58" applyFont="1" applyFill="1" applyBorder="1" applyAlignment="1">
      <alignment horizontal="center" vertical="center"/>
      <protection/>
    </xf>
    <xf numFmtId="1" fontId="90" fillId="33" borderId="15" xfId="58" applyNumberFormat="1" applyFill="1" applyBorder="1" applyAlignment="1">
      <alignment horizontal="center" vertical="center"/>
      <protection/>
    </xf>
    <xf numFmtId="0" fontId="0" fillId="34" borderId="0" xfId="47" applyFill="1" applyAlignment="1">
      <alignment horizontal="center"/>
      <protection/>
    </xf>
    <xf numFmtId="0" fontId="0" fillId="34" borderId="0" xfId="47" applyFont="1" applyFill="1">
      <alignment/>
      <protection/>
    </xf>
    <xf numFmtId="0" fontId="0" fillId="34" borderId="0" xfId="47" applyFont="1" applyFill="1" applyAlignment="1">
      <alignment/>
      <protection/>
    </xf>
    <xf numFmtId="0" fontId="34" fillId="34" borderId="0" xfId="47" applyFont="1" applyFill="1" applyBorder="1" applyAlignment="1">
      <alignment horizontal="left"/>
      <protection/>
    </xf>
    <xf numFmtId="0" fontId="0" fillId="34" borderId="0" xfId="47" applyFill="1" applyBorder="1" applyAlignment="1">
      <alignment horizontal="left"/>
      <protection/>
    </xf>
    <xf numFmtId="0" fontId="0" fillId="34" borderId="0" xfId="47" applyFill="1" applyBorder="1" applyAlignment="1">
      <alignment horizontal="center"/>
      <protection/>
    </xf>
    <xf numFmtId="241" fontId="34" fillId="34" borderId="0" xfId="47" applyNumberFormat="1" applyFont="1" applyFill="1" applyBorder="1" applyAlignment="1">
      <alignment horizontal="left"/>
      <protection/>
    </xf>
    <xf numFmtId="0" fontId="0" fillId="34" borderId="31" xfId="47" applyFill="1" applyBorder="1" applyAlignment="1">
      <alignment horizontal="center"/>
      <protection/>
    </xf>
    <xf numFmtId="0" fontId="0" fillId="34" borderId="32" xfId="47" applyFill="1" applyBorder="1" applyAlignment="1">
      <alignment horizontal="center"/>
      <protection/>
    </xf>
    <xf numFmtId="0" fontId="6" fillId="34" borderId="32" xfId="47" applyFont="1" applyFill="1" applyBorder="1" applyAlignment="1">
      <alignment horizontal="right"/>
      <protection/>
    </xf>
    <xf numFmtId="0" fontId="6" fillId="34" borderId="33" xfId="47" applyFont="1" applyFill="1" applyBorder="1" applyAlignment="1">
      <alignment horizontal="left"/>
      <protection/>
    </xf>
    <xf numFmtId="0" fontId="0" fillId="34" borderId="34" xfId="47" applyFill="1" applyBorder="1" applyAlignment="1">
      <alignment horizontal="center"/>
      <protection/>
    </xf>
    <xf numFmtId="0" fontId="0" fillId="34" borderId="35" xfId="47" applyFill="1" applyBorder="1" applyAlignment="1">
      <alignment horizontal="center"/>
      <protection/>
    </xf>
    <xf numFmtId="1" fontId="0" fillId="34" borderId="0" xfId="47" applyNumberFormat="1" applyFill="1" applyAlignment="1">
      <alignment horizontal="center"/>
      <protection/>
    </xf>
    <xf numFmtId="164" fontId="0" fillId="34" borderId="0" xfId="47" applyNumberFormat="1" applyFill="1" applyAlignment="1">
      <alignment horizontal="center"/>
      <protection/>
    </xf>
    <xf numFmtId="0" fontId="7" fillId="34" borderId="0" xfId="47" applyFont="1" applyFill="1" applyBorder="1" applyAlignment="1">
      <alignment horizontal="left"/>
      <protection/>
    </xf>
    <xf numFmtId="0" fontId="0" fillId="34" borderId="36" xfId="47" applyFont="1" applyFill="1" applyBorder="1" applyAlignment="1">
      <alignment horizontal="center"/>
      <protection/>
    </xf>
    <xf numFmtId="0" fontId="4" fillId="34" borderId="0" xfId="47" applyFont="1" applyFill="1" applyBorder="1" applyAlignment="1">
      <alignment horizontal="center"/>
      <protection/>
    </xf>
    <xf numFmtId="0" fontId="2" fillId="34" borderId="0" xfId="47" applyFont="1" applyFill="1" applyBorder="1" applyAlignment="1">
      <alignment horizontal="left"/>
      <protection/>
    </xf>
    <xf numFmtId="0" fontId="6" fillId="34" borderId="0" xfId="47" applyFont="1" applyFill="1" applyBorder="1" applyAlignment="1">
      <alignment horizontal="center"/>
      <protection/>
    </xf>
    <xf numFmtId="0" fontId="0" fillId="34" borderId="31" xfId="47" applyFont="1" applyFill="1" applyBorder="1" applyAlignment="1">
      <alignment horizontal="center"/>
      <protection/>
    </xf>
    <xf numFmtId="0" fontId="9" fillId="34" borderId="0" xfId="47" applyFont="1" applyFill="1" applyBorder="1" applyAlignment="1">
      <alignment horizontal="left"/>
      <protection/>
    </xf>
    <xf numFmtId="0" fontId="9" fillId="34" borderId="0" xfId="47" applyFont="1" applyFill="1" applyBorder="1" applyAlignment="1">
      <alignment horizontal="center"/>
      <protection/>
    </xf>
    <xf numFmtId="0" fontId="0" fillId="34" borderId="34" xfId="47" applyFont="1" applyFill="1" applyBorder="1" applyAlignment="1">
      <alignment horizontal="center"/>
      <protection/>
    </xf>
    <xf numFmtId="49" fontId="0" fillId="34" borderId="34" xfId="47" applyNumberFormat="1" applyFont="1" applyFill="1" applyBorder="1" applyAlignment="1">
      <alignment horizontal="center"/>
      <protection/>
    </xf>
    <xf numFmtId="0" fontId="0" fillId="34" borderId="37" xfId="47" applyFont="1" applyFill="1" applyBorder="1" applyAlignment="1">
      <alignment horizontal="center"/>
      <protection/>
    </xf>
    <xf numFmtId="0" fontId="0" fillId="34" borderId="0" xfId="47" applyFont="1" applyFill="1" applyBorder="1" applyAlignment="1">
      <alignment horizontal="center"/>
      <protection/>
    </xf>
    <xf numFmtId="2" fontId="6" fillId="34" borderId="0" xfId="47" applyNumberFormat="1" applyFont="1" applyFill="1" applyBorder="1" applyAlignment="1">
      <alignment horizontal="right"/>
      <protection/>
    </xf>
    <xf numFmtId="246" fontId="6" fillId="34" borderId="0" xfId="47" applyNumberFormat="1" applyFont="1" applyFill="1" applyBorder="1" applyAlignment="1">
      <alignment horizontal="right"/>
      <protection/>
    </xf>
    <xf numFmtId="0" fontId="0" fillId="34" borderId="38" xfId="47" applyFont="1" applyFill="1" applyBorder="1" applyAlignment="1">
      <alignment horizontal="center"/>
      <protection/>
    </xf>
    <xf numFmtId="0" fontId="0" fillId="34" borderId="0" xfId="47" applyFill="1" applyBorder="1" applyAlignment="1">
      <alignment/>
      <protection/>
    </xf>
    <xf numFmtId="245" fontId="6" fillId="34" borderId="32" xfId="47" applyNumberFormat="1" applyFont="1" applyFill="1" applyBorder="1" applyAlignment="1">
      <alignment horizontal="center"/>
      <protection/>
    </xf>
    <xf numFmtId="245" fontId="6" fillId="34" borderId="0" xfId="47" applyNumberFormat="1" applyFont="1" applyFill="1" applyBorder="1" applyAlignment="1">
      <alignment horizontal="center"/>
      <protection/>
    </xf>
    <xf numFmtId="0" fontId="2" fillId="34" borderId="0" xfId="47" applyFont="1" applyFill="1" applyBorder="1" applyAlignment="1">
      <alignment horizontal="center"/>
      <protection/>
    </xf>
    <xf numFmtId="0" fontId="0" fillId="34" borderId="39" xfId="47" applyFont="1" applyFill="1" applyBorder="1" applyAlignment="1">
      <alignment horizontal="center"/>
      <protection/>
    </xf>
    <xf numFmtId="245" fontId="6" fillId="34" borderId="39" xfId="47" applyNumberFormat="1" applyFont="1" applyFill="1" applyBorder="1" applyAlignment="1">
      <alignment horizontal="center"/>
      <protection/>
    </xf>
    <xf numFmtId="245" fontId="6" fillId="34" borderId="38" xfId="47" applyNumberFormat="1" applyFont="1" applyFill="1" applyBorder="1" applyAlignment="1">
      <alignment horizontal="center"/>
      <protection/>
    </xf>
    <xf numFmtId="1" fontId="6" fillId="34" borderId="0" xfId="47" applyNumberFormat="1" applyFont="1" applyFill="1" applyBorder="1" applyAlignment="1">
      <alignment horizontal="right"/>
      <protection/>
    </xf>
    <xf numFmtId="0" fontId="9" fillId="34" borderId="39" xfId="47" applyFont="1" applyFill="1" applyBorder="1" applyAlignment="1">
      <alignment vertical="top" wrapText="1"/>
      <protection/>
    </xf>
    <xf numFmtId="0" fontId="6" fillId="34" borderId="39" xfId="47" applyFont="1" applyFill="1" applyBorder="1" applyAlignment="1">
      <alignment vertical="top" wrapText="1"/>
      <protection/>
    </xf>
    <xf numFmtId="0" fontId="0" fillId="34" borderId="40" xfId="47" applyFill="1" applyBorder="1" applyAlignment="1">
      <alignment horizontal="center"/>
      <protection/>
    </xf>
    <xf numFmtId="0" fontId="9" fillId="34" borderId="0" xfId="47" applyFont="1" applyFill="1" applyBorder="1" applyAlignment="1">
      <alignment vertical="top" wrapText="1"/>
      <protection/>
    </xf>
    <xf numFmtId="0" fontId="6" fillId="34" borderId="0" xfId="47" applyFont="1" applyFill="1" applyBorder="1" applyAlignment="1">
      <alignment vertical="top" wrapText="1"/>
      <protection/>
    </xf>
    <xf numFmtId="0" fontId="6" fillId="34" borderId="32" xfId="47" applyFont="1" applyFill="1" applyBorder="1" applyAlignment="1">
      <alignment horizontal="left"/>
      <protection/>
    </xf>
    <xf numFmtId="0" fontId="0" fillId="34" borderId="33" xfId="47" applyFill="1" applyBorder="1" applyAlignment="1">
      <alignment horizontal="center"/>
      <protection/>
    </xf>
    <xf numFmtId="0" fontId="2" fillId="34" borderId="0" xfId="47" applyFont="1" applyFill="1" applyBorder="1">
      <alignment/>
      <protection/>
    </xf>
    <xf numFmtId="0" fontId="0" fillId="34" borderId="0" xfId="47" applyFill="1" applyBorder="1" applyAlignment="1">
      <alignment horizontal="right"/>
      <protection/>
    </xf>
    <xf numFmtId="0" fontId="6" fillId="34" borderId="0" xfId="47" applyFont="1" applyFill="1" applyBorder="1">
      <alignment/>
      <protection/>
    </xf>
    <xf numFmtId="0" fontId="0" fillId="34" borderId="0" xfId="47" applyFill="1" applyBorder="1">
      <alignment/>
      <protection/>
    </xf>
    <xf numFmtId="1" fontId="6" fillId="34" borderId="0" xfId="47" applyNumberFormat="1" applyFont="1" applyFill="1" applyBorder="1">
      <alignment/>
      <protection/>
    </xf>
    <xf numFmtId="1" fontId="15" fillId="34" borderId="0" xfId="47" applyNumberFormat="1" applyFont="1" applyFill="1" applyBorder="1" applyAlignment="1">
      <alignment horizontal="right"/>
      <protection/>
    </xf>
    <xf numFmtId="1" fontId="0" fillId="34" borderId="0" xfId="47" applyNumberFormat="1" applyFont="1" applyFill="1" applyBorder="1">
      <alignment/>
      <protection/>
    </xf>
    <xf numFmtId="0" fontId="9" fillId="34" borderId="0" xfId="47" applyFont="1" applyFill="1" applyBorder="1">
      <alignment/>
      <protection/>
    </xf>
    <xf numFmtId="249" fontId="6" fillId="34" borderId="39" xfId="47" applyNumberFormat="1" applyFont="1" applyFill="1" applyBorder="1" applyAlignment="1">
      <alignment horizontal="left"/>
      <protection/>
    </xf>
    <xf numFmtId="168" fontId="4" fillId="33" borderId="15" xfId="58" applyNumberFormat="1" applyFont="1" applyFill="1" applyBorder="1" applyAlignment="1">
      <alignment horizontal="left" vertical="center"/>
      <protection/>
    </xf>
    <xf numFmtId="0" fontId="0" fillId="0" borderId="0" xfId="62">
      <alignment/>
      <protection/>
    </xf>
    <xf numFmtId="200" fontId="4" fillId="33" borderId="15" xfId="58" applyNumberFormat="1" applyFont="1" applyFill="1" applyBorder="1" applyAlignment="1">
      <alignment horizontal="left" vertical="center"/>
      <protection/>
    </xf>
    <xf numFmtId="0" fontId="0" fillId="0" borderId="15" xfId="62" applyBorder="1" applyAlignment="1">
      <alignment horizontal="left" vertical="center"/>
      <protection/>
    </xf>
    <xf numFmtId="167" fontId="4" fillId="33" borderId="15" xfId="58" applyNumberFormat="1" applyFont="1" applyFill="1" applyBorder="1" applyAlignment="1">
      <alignment horizontal="left" vertical="center"/>
      <protection/>
    </xf>
    <xf numFmtId="0" fontId="0" fillId="0" borderId="15" xfId="62" applyBorder="1" applyAlignment="1">
      <alignment horizontal="left" vertical="center" wrapText="1"/>
      <protection/>
    </xf>
    <xf numFmtId="0" fontId="0" fillId="0" borderId="15" xfId="62" applyBorder="1">
      <alignment/>
      <protection/>
    </xf>
    <xf numFmtId="250" fontId="6" fillId="0" borderId="15" xfId="62" applyNumberFormat="1" applyFont="1" applyBorder="1" applyAlignment="1">
      <alignment horizontal="left" vertical="center"/>
      <protection/>
    </xf>
    <xf numFmtId="0" fontId="0" fillId="0" borderId="15" xfId="62" applyBorder="1" applyAlignment="1">
      <alignment horizontal="left" wrapText="1"/>
      <protection/>
    </xf>
    <xf numFmtId="230" fontId="15" fillId="33" borderId="15" xfId="58" applyNumberFormat="1" applyFont="1" applyFill="1" applyBorder="1" applyAlignment="1">
      <alignment horizontal="left" vertical="center"/>
      <protection/>
    </xf>
    <xf numFmtId="0" fontId="0" fillId="0" borderId="15" xfId="62" applyBorder="1" applyAlignment="1">
      <alignment/>
      <protection/>
    </xf>
    <xf numFmtId="164" fontId="6" fillId="0" borderId="0" xfId="0" applyNumberFormat="1" applyFont="1" applyAlignment="1">
      <alignment horizontal="left"/>
    </xf>
    <xf numFmtId="242" fontId="4" fillId="34" borderId="0" xfId="47" applyNumberFormat="1" applyFont="1" applyFill="1" applyBorder="1" applyAlignment="1">
      <alignment horizontal="center"/>
      <protection/>
    </xf>
    <xf numFmtId="0" fontId="6" fillId="34" borderId="0" xfId="47" applyFont="1" applyFill="1" applyBorder="1" applyAlignment="1">
      <alignment horizontal="right"/>
      <protection/>
    </xf>
    <xf numFmtId="0" fontId="6" fillId="34" borderId="35" xfId="47" applyFont="1" applyFill="1" applyBorder="1" applyAlignment="1">
      <alignment horizontal="left"/>
      <protection/>
    </xf>
    <xf numFmtId="0" fontId="54" fillId="34" borderId="35" xfId="47" applyFont="1" applyFill="1" applyBorder="1" applyAlignment="1">
      <alignment horizontal="left"/>
      <protection/>
    </xf>
    <xf numFmtId="0" fontId="29" fillId="34" borderId="0" xfId="47" applyFont="1" applyFill="1" applyBorder="1" applyAlignment="1">
      <alignment horizontal="left"/>
      <protection/>
    </xf>
    <xf numFmtId="0" fontId="0" fillId="34" borderId="17" xfId="47" applyFill="1" applyBorder="1" applyAlignment="1">
      <alignment horizontal="center"/>
      <protection/>
    </xf>
    <xf numFmtId="245" fontId="6" fillId="34" borderId="13" xfId="47" applyNumberFormat="1" applyFont="1" applyFill="1" applyBorder="1" applyAlignment="1">
      <alignment horizontal="left"/>
      <protection/>
    </xf>
    <xf numFmtId="0" fontId="0" fillId="34" borderId="13" xfId="47" applyFill="1" applyBorder="1" applyAlignment="1">
      <alignment horizontal="center"/>
      <protection/>
    </xf>
    <xf numFmtId="0" fontId="0" fillId="34" borderId="11" xfId="47" applyFill="1" applyBorder="1" applyAlignment="1">
      <alignment horizontal="center"/>
      <protection/>
    </xf>
    <xf numFmtId="0" fontId="54" fillId="34" borderId="0" xfId="47" applyFont="1" applyFill="1" applyBorder="1" applyAlignment="1">
      <alignment horizontal="left"/>
      <protection/>
    </xf>
    <xf numFmtId="0" fontId="0" fillId="34" borderId="36" xfId="47" applyFont="1" applyFill="1" applyBorder="1" applyAlignment="1">
      <alignment horizontal="center"/>
      <protection/>
    </xf>
    <xf numFmtId="0" fontId="0" fillId="34" borderId="10" xfId="47" applyFill="1" applyBorder="1" applyAlignment="1">
      <alignment horizontal="center"/>
      <protection/>
    </xf>
    <xf numFmtId="2" fontId="0" fillId="34" borderId="11" xfId="47" applyNumberFormat="1" applyFill="1" applyBorder="1" applyAlignment="1">
      <alignment horizontal="center"/>
      <protection/>
    </xf>
    <xf numFmtId="0" fontId="0" fillId="34" borderId="19" xfId="47" applyFill="1" applyBorder="1" applyAlignment="1">
      <alignment horizontal="center"/>
      <protection/>
    </xf>
    <xf numFmtId="0" fontId="0" fillId="34" borderId="14" xfId="47" applyFill="1" applyBorder="1" applyAlignment="1">
      <alignment horizontal="center"/>
      <protection/>
    </xf>
    <xf numFmtId="0" fontId="0" fillId="34" borderId="17" xfId="47" applyFont="1" applyFill="1" applyBorder="1" applyAlignment="1">
      <alignment horizontal="center"/>
      <protection/>
    </xf>
    <xf numFmtId="0" fontId="0" fillId="34" borderId="12" xfId="47" applyFill="1" applyBorder="1" applyAlignment="1">
      <alignment horizontal="center"/>
      <protection/>
    </xf>
    <xf numFmtId="0" fontId="0" fillId="34" borderId="16" xfId="47" applyFill="1" applyBorder="1" applyAlignment="1">
      <alignment horizontal="center"/>
      <protection/>
    </xf>
    <xf numFmtId="1" fontId="0" fillId="34" borderId="14" xfId="47" applyNumberFormat="1" applyFill="1" applyBorder="1" applyAlignment="1">
      <alignment horizontal="center"/>
      <protection/>
    </xf>
    <xf numFmtId="0" fontId="18" fillId="34" borderId="0" xfId="47" applyFont="1" applyFill="1" applyBorder="1" applyAlignment="1">
      <alignment horizontal="left"/>
      <protection/>
    </xf>
    <xf numFmtId="2" fontId="0" fillId="34" borderId="15" xfId="47" applyNumberFormat="1" applyFont="1" applyFill="1" applyBorder="1" applyAlignment="1">
      <alignment horizontal="center"/>
      <protection/>
    </xf>
    <xf numFmtId="164" fontId="0" fillId="34" borderId="15" xfId="47" applyNumberFormat="1" applyFont="1" applyFill="1" applyBorder="1" applyAlignment="1">
      <alignment horizontal="center"/>
      <protection/>
    </xf>
    <xf numFmtId="1" fontId="0" fillId="34" borderId="15" xfId="47" applyNumberFormat="1" applyFont="1" applyFill="1" applyBorder="1" applyAlignment="1">
      <alignment horizontal="center"/>
      <protection/>
    </xf>
    <xf numFmtId="198" fontId="14" fillId="34" borderId="0" xfId="47" applyNumberFormat="1" applyFont="1" applyFill="1" applyBorder="1" applyAlignment="1">
      <alignment horizontal="center"/>
      <protection/>
    </xf>
    <xf numFmtId="0" fontId="14" fillId="34" borderId="0" xfId="47" applyFont="1" applyFill="1" applyBorder="1" applyAlignment="1">
      <alignment horizontal="center"/>
      <protection/>
    </xf>
    <xf numFmtId="1" fontId="0" fillId="34" borderId="15" xfId="47" applyNumberFormat="1" applyFill="1" applyBorder="1" applyAlignment="1">
      <alignment horizontal="center"/>
      <protection/>
    </xf>
    <xf numFmtId="0" fontId="0" fillId="34" borderId="15" xfId="47" applyFill="1" applyBorder="1" applyAlignment="1">
      <alignment horizontal="center"/>
      <protection/>
    </xf>
    <xf numFmtId="2" fontId="0" fillId="34" borderId="15" xfId="47" applyNumberFormat="1" applyFill="1" applyBorder="1" applyAlignment="1">
      <alignment horizontal="center"/>
      <protection/>
    </xf>
    <xf numFmtId="0" fontId="0" fillId="34" borderId="12" xfId="47" applyFont="1" applyFill="1" applyBorder="1" applyAlignment="1">
      <alignment horizontal="center"/>
      <protection/>
    </xf>
    <xf numFmtId="0" fontId="0" fillId="34" borderId="14" xfId="47" applyFont="1" applyFill="1" applyBorder="1" applyAlignment="1">
      <alignment horizontal="center"/>
      <protection/>
    </xf>
    <xf numFmtId="0" fontId="8" fillId="34" borderId="12" xfId="47" applyFont="1" applyFill="1" applyBorder="1" applyAlignment="1">
      <alignment horizontal="center"/>
      <protection/>
    </xf>
    <xf numFmtId="164" fontId="0" fillId="34" borderId="15" xfId="47" applyNumberFormat="1" applyFill="1" applyBorder="1" applyAlignment="1">
      <alignment horizontal="center"/>
      <protection/>
    </xf>
    <xf numFmtId="0" fontId="0" fillId="34" borderId="10" xfId="47" applyFill="1" applyBorder="1" applyAlignment="1">
      <alignment horizontal="left"/>
      <protection/>
    </xf>
    <xf numFmtId="2" fontId="0" fillId="34" borderId="0" xfId="47" applyNumberFormat="1" applyFill="1" applyBorder="1" applyAlignment="1">
      <alignment horizontal="center"/>
      <protection/>
    </xf>
    <xf numFmtId="0" fontId="54" fillId="34" borderId="17" xfId="47" applyFont="1" applyFill="1" applyBorder="1" applyAlignment="1">
      <alignment horizontal="left"/>
      <protection/>
    </xf>
    <xf numFmtId="0" fontId="18" fillId="34" borderId="35" xfId="47" applyFont="1" applyFill="1" applyBorder="1" applyAlignment="1">
      <alignment horizontal="center"/>
      <protection/>
    </xf>
    <xf numFmtId="1" fontId="6" fillId="34" borderId="15" xfId="47" applyNumberFormat="1" applyFont="1" applyFill="1" applyBorder="1" applyAlignment="1">
      <alignment horizontal="left"/>
      <protection/>
    </xf>
    <xf numFmtId="0" fontId="0" fillId="34" borderId="10" xfId="47" applyFont="1" applyFill="1" applyBorder="1" applyAlignment="1">
      <alignment horizontal="center"/>
      <protection/>
    </xf>
    <xf numFmtId="0" fontId="0" fillId="34" borderId="10" xfId="47" applyFont="1" applyFill="1" applyBorder="1">
      <alignment/>
      <protection/>
    </xf>
    <xf numFmtId="0" fontId="0" fillId="34" borderId="19" xfId="47" applyFill="1" applyBorder="1">
      <alignment/>
      <protection/>
    </xf>
    <xf numFmtId="1" fontId="0" fillId="34" borderId="0" xfId="47" applyNumberFormat="1" applyFill="1" applyBorder="1" applyAlignment="1">
      <alignment horizontal="center"/>
      <protection/>
    </xf>
    <xf numFmtId="0" fontId="0" fillId="34" borderId="0" xfId="47" applyNumberFormat="1" applyFill="1" applyBorder="1" applyAlignment="1">
      <alignment horizontal="center"/>
      <protection/>
    </xf>
    <xf numFmtId="0" fontId="0" fillId="34" borderId="31" xfId="47" applyFont="1" applyFill="1" applyBorder="1" applyAlignment="1">
      <alignment horizontal="left"/>
      <protection/>
    </xf>
    <xf numFmtId="0" fontId="0" fillId="34" borderId="32" xfId="47" applyFont="1" applyFill="1" applyBorder="1" applyAlignment="1">
      <alignment horizontal="left"/>
      <protection/>
    </xf>
    <xf numFmtId="0" fontId="0" fillId="34" borderId="41" xfId="47" applyFont="1" applyFill="1" applyBorder="1" applyAlignment="1">
      <alignment horizontal="left"/>
      <protection/>
    </xf>
    <xf numFmtId="0" fontId="0" fillId="34" borderId="37" xfId="47" applyFont="1" applyFill="1" applyBorder="1" applyAlignment="1">
      <alignment horizontal="left"/>
      <protection/>
    </xf>
    <xf numFmtId="0" fontId="0" fillId="34" borderId="39" xfId="47" applyFont="1" applyFill="1" applyBorder="1" applyAlignment="1">
      <alignment horizontal="left"/>
      <protection/>
    </xf>
    <xf numFmtId="0" fontId="0" fillId="34" borderId="42" xfId="47" applyFont="1" applyFill="1" applyBorder="1" applyAlignment="1">
      <alignment horizontal="left"/>
      <protection/>
    </xf>
    <xf numFmtId="0" fontId="7" fillId="34" borderId="38" xfId="47" applyFont="1" applyFill="1" applyBorder="1">
      <alignment/>
      <protection/>
    </xf>
    <xf numFmtId="0" fontId="7" fillId="34" borderId="39" xfId="47" applyFont="1" applyFill="1" applyBorder="1">
      <alignment/>
      <protection/>
    </xf>
    <xf numFmtId="0" fontId="90" fillId="33" borderId="0" xfId="58" applyFill="1" applyBorder="1" applyAlignment="1">
      <alignment horizontal="center" vertical="center"/>
      <protection/>
    </xf>
    <xf numFmtId="170" fontId="4" fillId="33" borderId="15" xfId="58" applyNumberFormat="1" applyFont="1" applyFill="1" applyBorder="1" applyAlignment="1">
      <alignment horizontal="center" vertical="center"/>
      <protection/>
    </xf>
    <xf numFmtId="168" fontId="4" fillId="33" borderId="15" xfId="58" applyNumberFormat="1" applyFont="1" applyFill="1" applyBorder="1" applyAlignment="1">
      <alignment horizontal="center" vertical="center"/>
      <protection/>
    </xf>
    <xf numFmtId="213" fontId="6" fillId="33" borderId="11" xfId="58" applyNumberFormat="1" applyFont="1" applyFill="1" applyBorder="1" applyAlignment="1">
      <alignment horizontal="left" vertical="center"/>
      <protection/>
    </xf>
    <xf numFmtId="0" fontId="37" fillId="33" borderId="13" xfId="58" applyFont="1" applyFill="1" applyBorder="1" applyAlignment="1">
      <alignment horizontal="left"/>
      <protection/>
    </xf>
    <xf numFmtId="0" fontId="0" fillId="33" borderId="0" xfId="58" applyFont="1" applyFill="1" applyBorder="1" applyAlignment="1">
      <alignment vertical="center"/>
      <protection/>
    </xf>
    <xf numFmtId="0" fontId="8" fillId="33" borderId="15" xfId="58" applyFont="1" applyFill="1" applyBorder="1" applyAlignment="1">
      <alignment horizontal="center" vertical="center"/>
      <protection/>
    </xf>
    <xf numFmtId="0" fontId="90" fillId="33" borderId="22" xfId="58" applyFill="1" applyBorder="1" applyAlignment="1">
      <alignment horizontal="center" vertical="center"/>
      <protection/>
    </xf>
    <xf numFmtId="0" fontId="90" fillId="33" borderId="24" xfId="58" applyFill="1" applyBorder="1" applyAlignment="1">
      <alignment horizontal="center" vertical="center"/>
      <protection/>
    </xf>
    <xf numFmtId="242" fontId="6" fillId="34" borderId="0" xfId="47" applyNumberFormat="1" applyFont="1" applyFill="1" applyBorder="1" applyAlignment="1">
      <alignment horizontal="center"/>
      <protection/>
    </xf>
    <xf numFmtId="2" fontId="6" fillId="34" borderId="0" xfId="47" applyNumberFormat="1" applyFont="1" applyFill="1" applyBorder="1" applyAlignment="1">
      <alignment horizontal="center"/>
      <protection/>
    </xf>
    <xf numFmtId="1" fontId="6" fillId="34" borderId="0" xfId="47" applyNumberFormat="1" applyFont="1" applyFill="1" applyBorder="1" applyAlignment="1">
      <alignment horizontal="center"/>
      <protection/>
    </xf>
    <xf numFmtId="1" fontId="6" fillId="34" borderId="0" xfId="47" applyNumberFormat="1" applyFont="1" applyFill="1" applyBorder="1" applyAlignment="1">
      <alignment horizontal="center"/>
      <protection/>
    </xf>
    <xf numFmtId="242" fontId="35" fillId="34" borderId="15" xfId="47" applyNumberFormat="1" applyFont="1" applyFill="1" applyBorder="1" applyAlignment="1">
      <alignment horizontal="center"/>
      <protection/>
    </xf>
    <xf numFmtId="243" fontId="35" fillId="34" borderId="36" xfId="47" applyNumberFormat="1" applyFont="1" applyFill="1" applyBorder="1" applyAlignment="1">
      <alignment horizontal="center"/>
      <protection/>
    </xf>
    <xf numFmtId="244" fontId="35" fillId="34" borderId="36" xfId="47" applyNumberFormat="1" applyFont="1" applyFill="1" applyBorder="1" applyAlignment="1">
      <alignment horizontal="center"/>
      <protection/>
    </xf>
    <xf numFmtId="242" fontId="35" fillId="34" borderId="36" xfId="47" applyNumberFormat="1" applyFont="1" applyFill="1" applyBorder="1" applyAlignment="1">
      <alignment horizontal="center"/>
      <protection/>
    </xf>
    <xf numFmtId="0" fontId="35" fillId="34" borderId="36" xfId="47" applyFont="1" applyFill="1" applyBorder="1" applyAlignment="1">
      <alignment horizontal="center"/>
      <protection/>
    </xf>
    <xf numFmtId="164" fontId="6" fillId="34" borderId="0" xfId="47" applyNumberFormat="1" applyFont="1" applyFill="1" applyBorder="1" applyAlignment="1">
      <alignment horizontal="left"/>
      <protection/>
    </xf>
    <xf numFmtId="0" fontId="6" fillId="34" borderId="0" xfId="47" applyFont="1" applyFill="1" applyBorder="1" applyAlignment="1">
      <alignment horizontal="left"/>
      <protection/>
    </xf>
    <xf numFmtId="247" fontId="35" fillId="34" borderId="15" xfId="47" applyNumberFormat="1" applyFont="1" applyFill="1" applyBorder="1" applyAlignment="1">
      <alignment horizontal="left"/>
      <protection/>
    </xf>
    <xf numFmtId="248" fontId="35" fillId="34" borderId="38" xfId="47" applyNumberFormat="1" applyFont="1" applyFill="1" applyBorder="1" applyAlignment="1">
      <alignment horizontal="left"/>
      <protection/>
    </xf>
    <xf numFmtId="242" fontId="35" fillId="34" borderId="38" xfId="47" applyNumberFormat="1" applyFont="1" applyFill="1" applyBorder="1" applyAlignment="1">
      <alignment horizontal="left"/>
      <protection/>
    </xf>
    <xf numFmtId="0" fontId="7" fillId="34" borderId="0" xfId="47" applyFont="1" applyFill="1" applyBorder="1" applyAlignment="1">
      <alignment horizontal="right"/>
      <protection/>
    </xf>
    <xf numFmtId="0" fontId="7" fillId="34" borderId="11" xfId="47" applyFont="1" applyFill="1" applyBorder="1" applyAlignment="1">
      <alignment horizontal="left"/>
      <protection/>
    </xf>
    <xf numFmtId="0" fontId="0" fillId="34" borderId="0" xfId="47" applyFont="1" applyFill="1" applyBorder="1" applyAlignment="1">
      <alignment horizontal="right" vertical="top" wrapText="1"/>
      <protection/>
    </xf>
    <xf numFmtId="0" fontId="0" fillId="34" borderId="0" xfId="47" applyFont="1" applyFill="1" applyBorder="1" applyAlignment="1">
      <alignment horizontal="right"/>
      <protection/>
    </xf>
    <xf numFmtId="0" fontId="7" fillId="34" borderId="13" xfId="47" applyFont="1" applyFill="1" applyBorder="1" applyAlignment="1">
      <alignment horizontal="left"/>
      <protection/>
    </xf>
    <xf numFmtId="0" fontId="9" fillId="34" borderId="13" xfId="47" applyFont="1" applyFill="1" applyBorder="1" applyAlignment="1">
      <alignment horizontal="left"/>
      <protection/>
    </xf>
    <xf numFmtId="0" fontId="9" fillId="34" borderId="13" xfId="47" applyFont="1" applyFill="1" applyBorder="1" applyAlignment="1">
      <alignment/>
      <protection/>
    </xf>
    <xf numFmtId="0" fontId="0" fillId="34" borderId="20" xfId="47" applyFont="1" applyFill="1" applyBorder="1" applyAlignment="1">
      <alignment vertical="center"/>
      <protection/>
    </xf>
    <xf numFmtId="213" fontId="6" fillId="33" borderId="0" xfId="58" applyNumberFormat="1" applyFont="1" applyFill="1" applyBorder="1" applyAlignment="1">
      <alignment horizontal="left" vertical="center"/>
      <protection/>
    </xf>
    <xf numFmtId="167" fontId="6" fillId="33" borderId="13" xfId="58" applyNumberFormat="1" applyFont="1" applyFill="1" applyBorder="1" applyAlignment="1">
      <alignment horizontal="left" vertical="center"/>
      <protection/>
    </xf>
    <xf numFmtId="0" fontId="90" fillId="33" borderId="0" xfId="58" applyFill="1" applyBorder="1" applyAlignment="1">
      <alignment vertical="center"/>
      <protection/>
    </xf>
    <xf numFmtId="0" fontId="1" fillId="33" borderId="0" xfId="58" applyFont="1" applyFill="1" applyBorder="1" applyAlignment="1">
      <alignment vertical="center"/>
      <protection/>
    </xf>
    <xf numFmtId="0" fontId="0" fillId="33" borderId="10" xfId="58" applyFont="1" applyFill="1" applyBorder="1" applyAlignment="1">
      <alignment horizontal="right" vertical="center"/>
      <protection/>
    </xf>
    <xf numFmtId="0" fontId="0" fillId="33" borderId="14" xfId="58" applyFont="1" applyFill="1" applyBorder="1" applyAlignment="1">
      <alignment horizontal="right" vertical="center"/>
      <protection/>
    </xf>
    <xf numFmtId="49" fontId="0" fillId="33" borderId="14" xfId="58" applyNumberFormat="1" applyFont="1" applyFill="1" applyBorder="1" applyAlignment="1">
      <alignment horizontal="right" vertical="center"/>
      <protection/>
    </xf>
    <xf numFmtId="0" fontId="0" fillId="33" borderId="12" xfId="58" applyFont="1" applyFill="1" applyBorder="1" applyAlignment="1">
      <alignment horizontal="right" vertical="center"/>
      <protection/>
    </xf>
    <xf numFmtId="0" fontId="0" fillId="34" borderId="14" xfId="47" applyFont="1" applyFill="1" applyBorder="1" applyAlignment="1">
      <alignment horizontal="right"/>
      <protection/>
    </xf>
    <xf numFmtId="0" fontId="0" fillId="34" borderId="12" xfId="47" applyFont="1" applyFill="1" applyBorder="1" applyAlignment="1">
      <alignment horizontal="right"/>
      <protection/>
    </xf>
    <xf numFmtId="0" fontId="0" fillId="34" borderId="10" xfId="47" applyFont="1" applyFill="1" applyBorder="1" applyAlignment="1">
      <alignment horizontal="right"/>
      <protection/>
    </xf>
    <xf numFmtId="0" fontId="1" fillId="33" borderId="10" xfId="58" applyFont="1" applyFill="1" applyBorder="1" applyAlignment="1">
      <alignment horizontal="right" vertical="center"/>
      <protection/>
    </xf>
    <xf numFmtId="0" fontId="1" fillId="33" borderId="14" xfId="58" applyFont="1" applyFill="1" applyBorder="1" applyAlignment="1">
      <alignment horizontal="right" vertical="center"/>
      <protection/>
    </xf>
    <xf numFmtId="0" fontId="1" fillId="33" borderId="12" xfId="58" applyFont="1" applyFill="1" applyBorder="1" applyAlignment="1">
      <alignment horizontal="right" vertical="center"/>
      <protection/>
    </xf>
    <xf numFmtId="0" fontId="33" fillId="33" borderId="0" xfId="58" applyFont="1" applyFill="1" applyBorder="1" applyAlignment="1">
      <alignment vertical="center"/>
      <protection/>
    </xf>
    <xf numFmtId="213" fontId="4" fillId="33" borderId="15" xfId="58" applyNumberFormat="1" applyFont="1" applyFill="1" applyBorder="1" applyAlignment="1">
      <alignment vertical="center"/>
      <protection/>
    </xf>
    <xf numFmtId="214" fontId="4" fillId="33" borderId="15" xfId="58" applyNumberFormat="1" applyFont="1" applyFill="1" applyBorder="1" applyAlignment="1">
      <alignment horizontal="left" vertical="center"/>
      <protection/>
    </xf>
    <xf numFmtId="0" fontId="0" fillId="33" borderId="11" xfId="58" applyFont="1" applyFill="1" applyBorder="1" applyAlignment="1">
      <alignment vertical="center"/>
      <protection/>
    </xf>
    <xf numFmtId="167" fontId="6" fillId="33" borderId="15" xfId="58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90" fillId="33" borderId="20" xfId="58" applyFill="1" applyBorder="1" applyAlignment="1">
      <alignment horizontal="center" vertical="center"/>
      <protection/>
    </xf>
    <xf numFmtId="166" fontId="6" fillId="33" borderId="20" xfId="58" applyNumberFormat="1" applyFont="1" applyFill="1" applyBorder="1" applyAlignment="1">
      <alignment horizontal="center" vertical="center"/>
      <protection/>
    </xf>
    <xf numFmtId="0" fontId="0" fillId="33" borderId="13" xfId="58" applyFont="1" applyFill="1" applyBorder="1" applyAlignment="1">
      <alignment horizontal="center" vertical="center"/>
      <protection/>
    </xf>
    <xf numFmtId="167" fontId="15" fillId="33" borderId="13" xfId="58" applyNumberFormat="1" applyFont="1" applyFill="1" applyBorder="1" applyAlignment="1">
      <alignment horizontal="center" vertical="center"/>
      <protection/>
    </xf>
    <xf numFmtId="0" fontId="0" fillId="33" borderId="20" xfId="58" applyFont="1" applyFill="1" applyBorder="1" applyAlignment="1">
      <alignment horizontal="center" vertical="center"/>
      <protection/>
    </xf>
    <xf numFmtId="167" fontId="15" fillId="33" borderId="20" xfId="58" applyNumberFormat="1" applyFont="1" applyFill="1" applyBorder="1" applyAlignment="1">
      <alignment horizontal="center" vertical="center"/>
      <protection/>
    </xf>
    <xf numFmtId="0" fontId="54" fillId="34" borderId="0" xfId="47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" vertical="center"/>
      <protection/>
    </xf>
    <xf numFmtId="170" fontId="6" fillId="33" borderId="20" xfId="58" applyNumberFormat="1" applyFont="1" applyFill="1" applyBorder="1" applyAlignment="1">
      <alignment horizontal="center" vertical="center"/>
      <protection/>
    </xf>
    <xf numFmtId="0" fontId="7" fillId="33" borderId="0" xfId="58" applyFont="1" applyFill="1" applyBorder="1" applyAlignment="1">
      <alignment vertical="center"/>
      <protection/>
    </xf>
    <xf numFmtId="0" fontId="17" fillId="34" borderId="0" xfId="47" applyFont="1" applyFill="1" applyBorder="1" applyAlignment="1">
      <alignment horizontal="center"/>
      <protection/>
    </xf>
    <xf numFmtId="0" fontId="90" fillId="33" borderId="10" xfId="58" applyFill="1" applyBorder="1" applyAlignment="1">
      <alignment horizontal="center"/>
      <protection/>
    </xf>
    <xf numFmtId="0" fontId="90" fillId="33" borderId="19" xfId="58" applyFill="1" applyBorder="1" applyAlignment="1">
      <alignment horizontal="center"/>
      <protection/>
    </xf>
    <xf numFmtId="0" fontId="90" fillId="33" borderId="14" xfId="58" applyFill="1" applyBorder="1" applyAlignment="1">
      <alignment horizontal="center"/>
      <protection/>
    </xf>
    <xf numFmtId="0" fontId="90" fillId="33" borderId="17" xfId="58" applyFill="1" applyBorder="1" applyAlignment="1">
      <alignment horizontal="center"/>
      <protection/>
    </xf>
    <xf numFmtId="0" fontId="90" fillId="33" borderId="14" xfId="58" applyFill="1" applyBorder="1" applyAlignment="1">
      <alignment horizontal="center" vertical="center"/>
      <protection/>
    </xf>
    <xf numFmtId="0" fontId="90" fillId="33" borderId="17" xfId="58" applyFill="1" applyBorder="1" applyAlignment="1">
      <alignment horizontal="center" vertical="center"/>
      <protection/>
    </xf>
    <xf numFmtId="0" fontId="90" fillId="33" borderId="12" xfId="58" applyFill="1" applyBorder="1" applyAlignment="1">
      <alignment horizontal="center"/>
      <protection/>
    </xf>
    <xf numFmtId="0" fontId="90" fillId="33" borderId="16" xfId="58" applyFill="1" applyBorder="1" applyAlignment="1">
      <alignment horizontal="center"/>
      <protection/>
    </xf>
    <xf numFmtId="2" fontId="6" fillId="33" borderId="11" xfId="58" applyNumberFormat="1" applyFont="1" applyFill="1" applyBorder="1" applyAlignment="1">
      <alignment horizontal="center" vertical="center"/>
      <protection/>
    </xf>
    <xf numFmtId="171" fontId="56" fillId="33" borderId="20" xfId="58" applyNumberFormat="1" applyFont="1" applyFill="1" applyBorder="1" applyAlignment="1">
      <alignment horizontal="center" vertical="center"/>
      <protection/>
    </xf>
    <xf numFmtId="0" fontId="8" fillId="33" borderId="22" xfId="58" applyFont="1" applyFill="1" applyBorder="1" applyAlignment="1">
      <alignment horizontal="center" vertical="top"/>
      <protection/>
    </xf>
    <xf numFmtId="0" fontId="8" fillId="33" borderId="24" xfId="58" applyFont="1" applyFill="1" applyBorder="1" applyAlignment="1">
      <alignment horizontal="center" vertical="top"/>
      <protection/>
    </xf>
    <xf numFmtId="0" fontId="90" fillId="33" borderId="0" xfId="58" applyFill="1" applyBorder="1" applyAlignment="1">
      <alignment horizontal="left"/>
      <protection/>
    </xf>
    <xf numFmtId="0" fontId="0" fillId="33" borderId="15" xfId="58" applyFont="1" applyFill="1" applyBorder="1" applyAlignment="1">
      <alignment horizontal="center" vertical="center" wrapText="1"/>
      <protection/>
    </xf>
    <xf numFmtId="11" fontId="66" fillId="33" borderId="15" xfId="58" applyNumberFormat="1" applyFont="1" applyFill="1" applyBorder="1" applyAlignment="1">
      <alignment horizontal="center" vertical="center"/>
      <protection/>
    </xf>
    <xf numFmtId="167" fontId="4" fillId="33" borderId="18" xfId="58" applyNumberFormat="1" applyFont="1" applyFill="1" applyBorder="1" applyAlignment="1">
      <alignment horizontal="left" vertical="center"/>
      <protection/>
    </xf>
    <xf numFmtId="171" fontId="15" fillId="33" borderId="0" xfId="58" applyNumberFormat="1" applyFont="1" applyFill="1" applyBorder="1" applyAlignment="1">
      <alignment horizontal="center" vertical="center"/>
      <protection/>
    </xf>
    <xf numFmtId="0" fontId="0" fillId="33" borderId="20" xfId="0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246" fontId="58" fillId="34" borderId="13" xfId="47" applyNumberFormat="1" applyFont="1" applyFill="1" applyBorder="1" applyAlignment="1">
      <alignment horizontal="left"/>
      <protection/>
    </xf>
    <xf numFmtId="0" fontId="33" fillId="33" borderId="19" xfId="58" applyFont="1" applyFill="1" applyBorder="1" applyAlignment="1">
      <alignment horizontal="left" vertical="center"/>
      <protection/>
    </xf>
    <xf numFmtId="0" fontId="33" fillId="33" borderId="17" xfId="58" applyFont="1" applyFill="1" applyBorder="1" applyAlignment="1">
      <alignment horizontal="left" vertical="center"/>
      <protection/>
    </xf>
    <xf numFmtId="0" fontId="29" fillId="34" borderId="0" xfId="47" applyFont="1" applyFill="1" applyBorder="1" applyAlignment="1">
      <alignment horizontal="center"/>
      <protection/>
    </xf>
    <xf numFmtId="0" fontId="0" fillId="33" borderId="1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/>
    </xf>
    <xf numFmtId="0" fontId="36" fillId="33" borderId="15" xfId="0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/>
    </xf>
    <xf numFmtId="173" fontId="4" fillId="33" borderId="15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3" borderId="11" xfId="0" applyFill="1" applyBorder="1" applyAlignment="1">
      <alignment horizontal="left" vertical="center"/>
    </xf>
    <xf numFmtId="169" fontId="4" fillId="33" borderId="15" xfId="0" applyNumberFormat="1" applyFont="1" applyFill="1" applyBorder="1" applyAlignment="1">
      <alignment horizontal="left" vertical="center"/>
    </xf>
    <xf numFmtId="166" fontId="4" fillId="33" borderId="15" xfId="0" applyNumberFormat="1" applyFont="1" applyFill="1" applyBorder="1" applyAlignment="1">
      <alignment horizontal="left" vertical="center"/>
    </xf>
    <xf numFmtId="170" fontId="4" fillId="33" borderId="15" xfId="0" applyNumberFormat="1" applyFont="1" applyFill="1" applyBorder="1" applyAlignment="1">
      <alignment horizontal="left" vertical="center"/>
    </xf>
    <xf numFmtId="168" fontId="4" fillId="33" borderId="15" xfId="0" applyNumberFormat="1" applyFont="1" applyFill="1" applyBorder="1" applyAlignment="1">
      <alignment horizontal="left" vertical="center"/>
    </xf>
    <xf numFmtId="2" fontId="63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165" fontId="6" fillId="33" borderId="0" xfId="0" applyNumberFormat="1" applyFont="1" applyFill="1" applyBorder="1" applyAlignment="1">
      <alignment horizontal="left" vertical="center"/>
    </xf>
    <xf numFmtId="165" fontId="6" fillId="33" borderId="20" xfId="0" applyNumberFormat="1" applyFont="1" applyFill="1" applyBorder="1" applyAlignment="1">
      <alignment horizontal="left" vertical="center"/>
    </xf>
    <xf numFmtId="170" fontId="4" fillId="33" borderId="0" xfId="0" applyNumberFormat="1" applyFont="1" applyFill="1" applyBorder="1" applyAlignment="1">
      <alignment horizontal="center" vertical="center"/>
    </xf>
    <xf numFmtId="170" fontId="4" fillId="33" borderId="0" xfId="0" applyNumberFormat="1" applyFont="1" applyFill="1" applyBorder="1" applyAlignment="1">
      <alignment vertical="center"/>
    </xf>
    <xf numFmtId="49" fontId="0" fillId="33" borderId="0" xfId="0" applyNumberFormat="1" applyFill="1" applyBorder="1" applyAlignment="1">
      <alignment/>
    </xf>
    <xf numFmtId="0" fontId="0" fillId="33" borderId="14" xfId="0" applyFill="1" applyBorder="1" applyAlignment="1">
      <alignment vertical="center"/>
    </xf>
    <xf numFmtId="173" fontId="4" fillId="33" borderId="0" xfId="0" applyNumberFormat="1" applyFont="1" applyFill="1" applyBorder="1" applyAlignment="1">
      <alignment horizontal="left"/>
    </xf>
    <xf numFmtId="251" fontId="4" fillId="33" borderId="0" xfId="0" applyNumberFormat="1" applyFont="1" applyFill="1" applyBorder="1" applyAlignment="1">
      <alignment vertical="center"/>
    </xf>
    <xf numFmtId="252" fontId="4" fillId="33" borderId="0" xfId="0" applyNumberFormat="1" applyFont="1" applyFill="1" applyBorder="1" applyAlignment="1">
      <alignment horizontal="left" vertical="center"/>
    </xf>
    <xf numFmtId="251" fontId="9" fillId="33" borderId="0" xfId="0" applyNumberFormat="1" applyFont="1" applyFill="1" applyBorder="1" applyAlignment="1">
      <alignment vertical="center"/>
    </xf>
    <xf numFmtId="252" fontId="9" fillId="33" borderId="0" xfId="0" applyNumberFormat="1" applyFont="1" applyFill="1" applyBorder="1" applyAlignment="1">
      <alignment horizontal="left" vertical="center"/>
    </xf>
    <xf numFmtId="251" fontId="6" fillId="33" borderId="0" xfId="0" applyNumberFormat="1" applyFont="1" applyFill="1" applyBorder="1" applyAlignment="1">
      <alignment vertical="center"/>
    </xf>
    <xf numFmtId="252" fontId="6" fillId="33" borderId="0" xfId="0" applyNumberFormat="1" applyFont="1" applyFill="1" applyBorder="1" applyAlignment="1">
      <alignment horizontal="left" vertical="center"/>
    </xf>
    <xf numFmtId="2" fontId="67" fillId="35" borderId="0" xfId="0" applyNumberFormat="1" applyFont="1" applyFill="1" applyBorder="1" applyAlignment="1">
      <alignment horizontal="center" vertical="center"/>
    </xf>
    <xf numFmtId="2" fontId="68" fillId="35" borderId="0" xfId="0" applyNumberFormat="1" applyFont="1" applyFill="1" applyBorder="1" applyAlignment="1">
      <alignment horizontal="center" vertical="center"/>
    </xf>
    <xf numFmtId="2" fontId="59" fillId="35" borderId="0" xfId="0" applyNumberFormat="1" applyFont="1" applyFill="1" applyBorder="1" applyAlignment="1">
      <alignment horizontal="center" vertical="center"/>
    </xf>
    <xf numFmtId="2" fontId="60" fillId="35" borderId="0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165" fontId="6" fillId="33" borderId="0" xfId="0" applyNumberFormat="1" applyFont="1" applyFill="1" applyBorder="1" applyAlignment="1">
      <alignment vertical="center"/>
    </xf>
    <xf numFmtId="231" fontId="6" fillId="33" borderId="20" xfId="0" applyNumberFormat="1" applyFont="1" applyFill="1" applyBorder="1" applyAlignment="1">
      <alignment/>
    </xf>
    <xf numFmtId="165" fontId="6" fillId="33" borderId="20" xfId="0" applyNumberFormat="1" applyFont="1" applyFill="1" applyBorder="1" applyAlignment="1">
      <alignment vertical="center"/>
    </xf>
    <xf numFmtId="165" fontId="6" fillId="33" borderId="18" xfId="0" applyNumberFormat="1" applyFont="1" applyFill="1" applyBorder="1" applyAlignment="1">
      <alignment horizontal="left" vertical="center"/>
    </xf>
    <xf numFmtId="170" fontId="4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9" fontId="0" fillId="33" borderId="13" xfId="0" applyNumberFormat="1" applyFill="1" applyBorder="1" applyAlignment="1">
      <alignment/>
    </xf>
    <xf numFmtId="0" fontId="0" fillId="33" borderId="17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17" xfId="0" applyFill="1" applyBorder="1" applyAlignment="1">
      <alignment vertical="center"/>
    </xf>
    <xf numFmtId="0" fontId="9" fillId="33" borderId="13" xfId="0" applyFont="1" applyFill="1" applyBorder="1" applyAlignment="1">
      <alignment horizontal="center" vertical="justify"/>
    </xf>
    <xf numFmtId="2" fontId="6" fillId="33" borderId="20" xfId="0" applyNumberFormat="1" applyFont="1" applyFill="1" applyBorder="1" applyAlignment="1">
      <alignment horizontal="center" vertical="center"/>
    </xf>
    <xf numFmtId="175" fontId="4" fillId="33" borderId="24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left"/>
    </xf>
    <xf numFmtId="0" fontId="0" fillId="33" borderId="43" xfId="0" applyFill="1" applyBorder="1" applyAlignment="1">
      <alignment/>
    </xf>
    <xf numFmtId="0" fontId="0" fillId="33" borderId="26" xfId="0" applyFill="1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0" fillId="33" borderId="44" xfId="0" applyFill="1" applyBorder="1" applyAlignment="1">
      <alignment/>
    </xf>
    <xf numFmtId="200" fontId="6" fillId="33" borderId="15" xfId="58" applyNumberFormat="1" applyFont="1" applyFill="1" applyBorder="1" applyAlignment="1">
      <alignment horizontal="left" vertical="center"/>
      <protection/>
    </xf>
    <xf numFmtId="255" fontId="4" fillId="33" borderId="15" xfId="0" applyNumberFormat="1" applyFont="1" applyFill="1" applyBorder="1" applyAlignment="1">
      <alignment horizontal="center"/>
    </xf>
    <xf numFmtId="255" fontId="63" fillId="33" borderId="0" xfId="0" applyNumberFormat="1" applyFont="1" applyFill="1" applyBorder="1" applyAlignment="1">
      <alignment horizontal="left"/>
    </xf>
    <xf numFmtId="255" fontId="63" fillId="33" borderId="0" xfId="0" applyNumberFormat="1" applyFont="1" applyFill="1" applyBorder="1" applyAlignment="1">
      <alignment horizontal="center"/>
    </xf>
    <xf numFmtId="0" fontId="36" fillId="33" borderId="18" xfId="0" applyFont="1" applyFill="1" applyBorder="1" applyAlignment="1">
      <alignment horizontal="right" vertical="center"/>
    </xf>
    <xf numFmtId="0" fontId="36" fillId="33" borderId="20" xfId="0" applyFont="1" applyFill="1" applyBorder="1" applyAlignment="1">
      <alignment horizontal="right" vertical="center"/>
    </xf>
    <xf numFmtId="0" fontId="36" fillId="33" borderId="21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35" fillId="33" borderId="22" xfId="0" applyFont="1" applyFill="1" applyBorder="1" applyAlignment="1">
      <alignment horizontal="center" vertical="center" wrapText="1"/>
    </xf>
    <xf numFmtId="0" fontId="35" fillId="33" borderId="2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164" fontId="6" fillId="33" borderId="22" xfId="0" applyNumberFormat="1" applyFont="1" applyFill="1" applyBorder="1" applyAlignment="1">
      <alignment horizontal="center" vertical="center"/>
    </xf>
    <xf numFmtId="164" fontId="6" fillId="33" borderId="24" xfId="0" applyNumberFormat="1" applyFont="1" applyFill="1" applyBorder="1" applyAlignment="1">
      <alignment horizontal="center" vertical="center"/>
    </xf>
    <xf numFmtId="0" fontId="35" fillId="33" borderId="18" xfId="0" applyFont="1" applyFill="1" applyBorder="1" applyAlignment="1">
      <alignment horizontal="center"/>
    </xf>
    <xf numFmtId="0" fontId="35" fillId="33" borderId="21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/>
    </xf>
    <xf numFmtId="0" fontId="35" fillId="33" borderId="18" xfId="0" applyFont="1" applyFill="1" applyBorder="1" applyAlignment="1">
      <alignment horizontal="center" vertical="center"/>
    </xf>
    <xf numFmtId="0" fontId="35" fillId="33" borderId="20" xfId="0" applyFont="1" applyFill="1" applyBorder="1" applyAlignment="1">
      <alignment horizontal="center" vertical="center"/>
    </xf>
    <xf numFmtId="0" fontId="35" fillId="33" borderId="2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top"/>
    </xf>
    <xf numFmtId="0" fontId="35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/>
    </xf>
    <xf numFmtId="0" fontId="0" fillId="36" borderId="15" xfId="0" applyFont="1" applyFill="1" applyBorder="1" applyAlignment="1">
      <alignment vertical="top"/>
    </xf>
    <xf numFmtId="2" fontId="0" fillId="33" borderId="0" xfId="0" applyNumberFormat="1" applyFill="1" applyBorder="1" applyAlignment="1">
      <alignment horizontal="left"/>
    </xf>
    <xf numFmtId="0" fontId="0" fillId="36" borderId="15" xfId="0" applyFill="1" applyBorder="1" applyAlignment="1">
      <alignment horizontal="center" vertical="center"/>
    </xf>
    <xf numFmtId="173" fontId="6" fillId="33" borderId="0" xfId="0" applyNumberFormat="1" applyFont="1" applyFill="1" applyBorder="1" applyAlignment="1">
      <alignment horizontal="center"/>
    </xf>
    <xf numFmtId="238" fontId="6" fillId="33" borderId="0" xfId="0" applyNumberFormat="1" applyFont="1" applyFill="1" applyBorder="1" applyAlignment="1">
      <alignment horizontal="center"/>
    </xf>
    <xf numFmtId="173" fontId="0" fillId="33" borderId="15" xfId="0" applyNumberFormat="1" applyFont="1" applyFill="1" applyBorder="1" applyAlignment="1">
      <alignment horizontal="center"/>
    </xf>
    <xf numFmtId="173" fontId="69" fillId="33" borderId="15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36" fillId="33" borderId="15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167" fontId="6" fillId="33" borderId="15" xfId="0" applyNumberFormat="1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/>
    </xf>
    <xf numFmtId="0" fontId="0" fillId="33" borderId="18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wrapText="1"/>
    </xf>
    <xf numFmtId="238" fontId="15" fillId="33" borderId="0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0" fillId="36" borderId="27" xfId="0" applyFill="1" applyBorder="1" applyAlignment="1">
      <alignment horizontal="center"/>
    </xf>
    <xf numFmtId="0" fontId="7" fillId="36" borderId="0" xfId="0" applyFont="1" applyFill="1" applyBorder="1" applyAlignment="1">
      <alignment horizontal="left" vertical="center"/>
    </xf>
    <xf numFmtId="0" fontId="7" fillId="36" borderId="0" xfId="0" applyFont="1" applyFill="1" applyBorder="1" applyAlignment="1">
      <alignment vertical="center"/>
    </xf>
    <xf numFmtId="0" fontId="0" fillId="36" borderId="27" xfId="0" applyFill="1" applyBorder="1" applyAlignment="1">
      <alignment/>
    </xf>
    <xf numFmtId="0" fontId="7" fillId="36" borderId="0" xfId="0" applyFont="1" applyFill="1" applyBorder="1" applyAlignment="1">
      <alignment horizontal="left"/>
    </xf>
    <xf numFmtId="0" fontId="7" fillId="36" borderId="13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0" fillId="36" borderId="15" xfId="0" applyFont="1" applyFill="1" applyBorder="1" applyAlignment="1">
      <alignment horizontal="center" vertical="top"/>
    </xf>
    <xf numFmtId="0" fontId="0" fillId="36" borderId="22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69" fillId="33" borderId="15" xfId="0" applyFont="1" applyFill="1" applyBorder="1" applyAlignment="1">
      <alignment horizontal="center" vertical="center"/>
    </xf>
    <xf numFmtId="253" fontId="0" fillId="38" borderId="15" xfId="0" applyNumberFormat="1" applyFont="1" applyFill="1" applyBorder="1" applyAlignment="1">
      <alignment horizontal="center" vertical="center"/>
    </xf>
    <xf numFmtId="254" fontId="0" fillId="38" borderId="15" xfId="0" applyNumberFormat="1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center" wrapText="1"/>
    </xf>
    <xf numFmtId="0" fontId="36" fillId="33" borderId="0" xfId="0" applyFont="1" applyFill="1" applyBorder="1" applyAlignment="1">
      <alignment vertical="center"/>
    </xf>
    <xf numFmtId="234" fontId="6" fillId="33" borderId="0" xfId="0" applyNumberFormat="1" applyFont="1" applyFill="1" applyBorder="1" applyAlignment="1">
      <alignment horizontal="center" vertical="center"/>
    </xf>
    <xf numFmtId="0" fontId="70" fillId="36" borderId="0" xfId="0" applyFont="1" applyFill="1" applyBorder="1" applyAlignment="1">
      <alignment horizontal="left" vertical="center"/>
    </xf>
    <xf numFmtId="173" fontId="35" fillId="33" borderId="0" xfId="0" applyNumberFormat="1" applyFont="1" applyFill="1" applyBorder="1" applyAlignment="1">
      <alignment horizontal="right" vertical="center"/>
    </xf>
    <xf numFmtId="165" fontId="71" fillId="33" borderId="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165" fontId="71" fillId="33" borderId="0" xfId="0" applyNumberFormat="1" applyFont="1" applyFill="1" applyBorder="1" applyAlignment="1">
      <alignment horizontal="left" vertical="top"/>
    </xf>
    <xf numFmtId="1" fontId="15" fillId="33" borderId="15" xfId="0" applyNumberFormat="1" applyFont="1" applyFill="1" applyBorder="1" applyAlignment="1">
      <alignment horizontal="center" vertical="center"/>
    </xf>
    <xf numFmtId="1" fontId="6" fillId="33" borderId="18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8" fillId="33" borderId="21" xfId="0" applyFont="1" applyFill="1" applyBorder="1" applyAlignment="1">
      <alignment vertical="center"/>
    </xf>
    <xf numFmtId="0" fontId="90" fillId="33" borderId="0" xfId="61" applyFill="1" applyAlignment="1">
      <alignment horizontal="center"/>
      <protection/>
    </xf>
    <xf numFmtId="0" fontId="90" fillId="33" borderId="0" xfId="61" applyFill="1" applyBorder="1" applyAlignment="1">
      <alignment horizontal="center"/>
      <protection/>
    </xf>
    <xf numFmtId="0" fontId="90" fillId="33" borderId="13" xfId="61" applyFill="1" applyBorder="1" applyAlignment="1">
      <alignment horizontal="center"/>
      <protection/>
    </xf>
    <xf numFmtId="0" fontId="90" fillId="33" borderId="11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right" vertical="center"/>
      <protection/>
    </xf>
    <xf numFmtId="0" fontId="90" fillId="33" borderId="0" xfId="61" applyFill="1" applyBorder="1" applyAlignment="1">
      <alignment horizontal="center" vertical="center" textRotation="90"/>
      <protection/>
    </xf>
    <xf numFmtId="0" fontId="37" fillId="33" borderId="0" xfId="61" applyFont="1" applyFill="1" applyAlignment="1">
      <alignment horizontal="left"/>
      <protection/>
    </xf>
    <xf numFmtId="0" fontId="0" fillId="33" borderId="15" xfId="61" applyFont="1" applyFill="1" applyBorder="1">
      <alignment/>
      <protection/>
    </xf>
    <xf numFmtId="0" fontId="90" fillId="33" borderId="0" xfId="61" applyFill="1" applyBorder="1" applyAlignment="1">
      <alignment textRotation="90"/>
      <protection/>
    </xf>
    <xf numFmtId="0" fontId="90" fillId="33" borderId="0" xfId="61" applyFill="1" applyAlignment="1">
      <alignment horizontal="center" vertical="center"/>
      <protection/>
    </xf>
    <xf numFmtId="0" fontId="0" fillId="33" borderId="15" xfId="61" applyFont="1" applyFill="1" applyBorder="1" applyAlignment="1">
      <alignment horizontal="distributed" vertical="center"/>
      <protection/>
    </xf>
    <xf numFmtId="0" fontId="90" fillId="33" borderId="15" xfId="61" applyFill="1" applyBorder="1" applyAlignment="1">
      <alignment horizontal="center" vertical="center"/>
      <protection/>
    </xf>
    <xf numFmtId="0" fontId="0" fillId="33" borderId="21" xfId="61" applyFont="1" applyFill="1" applyBorder="1" applyAlignment="1">
      <alignment horizontal="center" vertical="center"/>
      <protection/>
    </xf>
    <xf numFmtId="170" fontId="4" fillId="33" borderId="15" xfId="61" applyNumberFormat="1" applyFont="1" applyFill="1" applyBorder="1" applyAlignment="1">
      <alignment horizontal="center" vertical="center"/>
      <protection/>
    </xf>
    <xf numFmtId="169" fontId="4" fillId="33" borderId="15" xfId="61" applyNumberFormat="1" applyFont="1" applyFill="1" applyBorder="1" applyAlignment="1">
      <alignment horizontal="center" vertical="center"/>
      <protection/>
    </xf>
    <xf numFmtId="200" fontId="4" fillId="33" borderId="15" xfId="61" applyNumberFormat="1" applyFont="1" applyFill="1" applyBorder="1" applyAlignment="1">
      <alignment horizontal="center" vertical="center"/>
      <protection/>
    </xf>
    <xf numFmtId="2" fontId="6" fillId="33" borderId="15" xfId="61" applyNumberFormat="1" applyFont="1" applyFill="1" applyBorder="1" applyAlignment="1">
      <alignment horizontal="center" vertical="center"/>
      <protection/>
    </xf>
    <xf numFmtId="171" fontId="38" fillId="33" borderId="15" xfId="61" applyNumberFormat="1" applyFont="1" applyFill="1" applyBorder="1" applyAlignment="1">
      <alignment horizontal="center" vertical="center"/>
      <protection/>
    </xf>
    <xf numFmtId="167" fontId="15" fillId="33" borderId="15" xfId="61" applyNumberFormat="1" applyFont="1" applyFill="1" applyBorder="1" applyAlignment="1">
      <alignment horizontal="center" vertical="center"/>
      <protection/>
    </xf>
    <xf numFmtId="166" fontId="6" fillId="33" borderId="15" xfId="61" applyNumberFormat="1" applyFont="1" applyFill="1" applyBorder="1" applyAlignment="1">
      <alignment horizontal="center" vertical="center"/>
      <protection/>
    </xf>
    <xf numFmtId="0" fontId="9" fillId="33" borderId="15" xfId="61" applyFont="1" applyFill="1" applyBorder="1" applyAlignment="1">
      <alignment horizontal="center" vertical="center"/>
      <protection/>
    </xf>
    <xf numFmtId="171" fontId="15" fillId="33" borderId="15" xfId="61" applyNumberFormat="1" applyFont="1" applyFill="1" applyBorder="1" applyAlignment="1">
      <alignment horizontal="center" vertical="center"/>
      <protection/>
    </xf>
    <xf numFmtId="0" fontId="15" fillId="33" borderId="15" xfId="61" applyNumberFormat="1" applyFont="1" applyFill="1" applyBorder="1" applyAlignment="1">
      <alignment horizontal="center" vertical="center"/>
      <protection/>
    </xf>
    <xf numFmtId="2" fontId="0" fillId="33" borderId="15" xfId="61" applyNumberFormat="1" applyFont="1" applyFill="1" applyBorder="1" applyAlignment="1">
      <alignment horizontal="center" vertical="center"/>
      <protection/>
    </xf>
    <xf numFmtId="164" fontId="0" fillId="33" borderId="15" xfId="61" applyNumberFormat="1" applyFont="1" applyFill="1" applyBorder="1" applyAlignment="1">
      <alignment horizontal="center" vertical="center"/>
      <protection/>
    </xf>
    <xf numFmtId="1" fontId="0" fillId="33" borderId="15" xfId="61" applyNumberFormat="1" applyFont="1" applyFill="1" applyBorder="1" applyAlignment="1">
      <alignment horizontal="center" vertical="center"/>
      <protection/>
    </xf>
    <xf numFmtId="2" fontId="90" fillId="33" borderId="15" xfId="61" applyNumberFormat="1" applyFill="1" applyBorder="1" applyAlignment="1">
      <alignment horizontal="center" vertical="center"/>
      <protection/>
    </xf>
    <xf numFmtId="1" fontId="90" fillId="33" borderId="15" xfId="61" applyNumberFormat="1" applyFill="1" applyBorder="1" applyAlignment="1">
      <alignment horizontal="center" vertical="center"/>
      <protection/>
    </xf>
    <xf numFmtId="11" fontId="90" fillId="33" borderId="15" xfId="61" applyNumberFormat="1" applyFill="1" applyBorder="1" applyAlignment="1">
      <alignment horizontal="center" vertical="center"/>
      <protection/>
    </xf>
    <xf numFmtId="0" fontId="0" fillId="36" borderId="0" xfId="0" applyFill="1" applyBorder="1" applyAlignment="1">
      <alignment horizontal="left"/>
    </xf>
    <xf numFmtId="0" fontId="0" fillId="36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6" borderId="23" xfId="0" applyFont="1" applyFill="1" applyBorder="1" applyAlignment="1">
      <alignment horizontal="center" vertical="center"/>
    </xf>
    <xf numFmtId="2" fontId="0" fillId="33" borderId="0" xfId="0" applyNumberFormat="1" applyFill="1" applyBorder="1" applyAlignment="1">
      <alignment/>
    </xf>
    <xf numFmtId="256" fontId="6" fillId="33" borderId="0" xfId="0" applyNumberFormat="1" applyFont="1" applyFill="1" applyBorder="1" applyAlignment="1">
      <alignment horizontal="left"/>
    </xf>
    <xf numFmtId="170" fontId="4" fillId="33" borderId="15" xfId="61" applyNumberFormat="1" applyFont="1" applyFill="1" applyBorder="1" applyAlignment="1">
      <alignment horizontal="left" vertical="center"/>
      <protection/>
    </xf>
    <xf numFmtId="0" fontId="0" fillId="33" borderId="15" xfId="61" applyFont="1" applyFill="1" applyBorder="1" applyAlignment="1">
      <alignment horizontal="center" vertical="center"/>
      <protection/>
    </xf>
    <xf numFmtId="0" fontId="31" fillId="39" borderId="0" xfId="61" applyFont="1" applyFill="1" applyBorder="1" applyAlignment="1">
      <alignment horizontal="left" vertical="center"/>
      <protection/>
    </xf>
    <xf numFmtId="0" fontId="33" fillId="39" borderId="0" xfId="61" applyFont="1" applyFill="1" applyBorder="1" applyAlignment="1">
      <alignment horizontal="left" vertical="center"/>
      <protection/>
    </xf>
    <xf numFmtId="0" fontId="0" fillId="39" borderId="0" xfId="61" applyFont="1" applyFill="1" applyBorder="1" applyAlignment="1">
      <alignment horizontal="left" vertical="center"/>
      <protection/>
    </xf>
    <xf numFmtId="0" fontId="33" fillId="39" borderId="0" xfId="61" applyFont="1" applyFill="1" applyAlignment="1">
      <alignment horizontal="left" vertical="center"/>
      <protection/>
    </xf>
    <xf numFmtId="0" fontId="7" fillId="39" borderId="0" xfId="61" applyFont="1" applyFill="1" applyBorder="1" applyAlignment="1">
      <alignment horizontal="left"/>
      <protection/>
    </xf>
    <xf numFmtId="0" fontId="0" fillId="39" borderId="0" xfId="61" applyFont="1" applyFill="1" applyBorder="1">
      <alignment/>
      <protection/>
    </xf>
    <xf numFmtId="0" fontId="0" fillId="39" borderId="0" xfId="61" applyFont="1" applyFill="1" applyBorder="1" applyAlignment="1">
      <alignment horizontal="left"/>
      <protection/>
    </xf>
    <xf numFmtId="175" fontId="107" fillId="39" borderId="0" xfId="61" applyNumberFormat="1" applyFont="1" applyFill="1" applyBorder="1" applyAlignment="1">
      <alignment horizontal="left" vertical="center"/>
      <protection/>
    </xf>
    <xf numFmtId="213" fontId="107" fillId="39" borderId="0" xfId="61" applyNumberFormat="1" applyFont="1" applyFill="1" applyBorder="1" applyAlignment="1">
      <alignment vertical="center"/>
      <protection/>
    </xf>
    <xf numFmtId="212" fontId="107" fillId="39" borderId="0" xfId="61" applyNumberFormat="1" applyFont="1" applyFill="1" applyBorder="1" applyAlignment="1">
      <alignment horizontal="left" vertical="center"/>
      <protection/>
    </xf>
    <xf numFmtId="175" fontId="108" fillId="39" borderId="0" xfId="61" applyNumberFormat="1" applyFont="1" applyFill="1" applyBorder="1" applyAlignment="1">
      <alignment horizontal="left" vertical="center"/>
      <protection/>
    </xf>
    <xf numFmtId="211" fontId="108" fillId="39" borderId="0" xfId="61" applyNumberFormat="1" applyFont="1" applyFill="1" applyBorder="1" applyAlignment="1">
      <alignment horizontal="left" vertical="center"/>
      <protection/>
    </xf>
    <xf numFmtId="0" fontId="0" fillId="39" borderId="11" xfId="61" applyFont="1" applyFill="1" applyBorder="1" applyAlignment="1">
      <alignment horizontal="left"/>
      <protection/>
    </xf>
    <xf numFmtId="0" fontId="0" fillId="39" borderId="11" xfId="61" applyFont="1" applyFill="1" applyBorder="1" applyAlignment="1">
      <alignment horizontal="left" vertical="center"/>
      <protection/>
    </xf>
    <xf numFmtId="175" fontId="107" fillId="39" borderId="11" xfId="61" applyNumberFormat="1" applyFont="1" applyFill="1" applyBorder="1" applyAlignment="1">
      <alignment horizontal="left" vertical="center"/>
      <protection/>
    </xf>
    <xf numFmtId="211" fontId="107" fillId="39" borderId="0" xfId="61" applyNumberFormat="1" applyFont="1" applyFill="1" applyBorder="1" applyAlignment="1">
      <alignment horizontal="left" vertical="center"/>
      <protection/>
    </xf>
    <xf numFmtId="0" fontId="0" fillId="39" borderId="13" xfId="61" applyFont="1" applyFill="1" applyBorder="1" applyAlignment="1">
      <alignment vertical="center"/>
      <protection/>
    </xf>
    <xf numFmtId="0" fontId="0" fillId="39" borderId="13" xfId="61" applyFont="1" applyFill="1" applyBorder="1" applyAlignment="1">
      <alignment horizontal="left" vertical="center"/>
      <protection/>
    </xf>
    <xf numFmtId="167" fontId="107" fillId="39" borderId="13" xfId="61" applyNumberFormat="1" applyFont="1" applyFill="1" applyBorder="1" applyAlignment="1">
      <alignment horizontal="left" vertical="center"/>
      <protection/>
    </xf>
    <xf numFmtId="0" fontId="33" fillId="39" borderId="0" xfId="61" applyFont="1" applyFill="1" applyAlignment="1">
      <alignment vertical="center"/>
      <protection/>
    </xf>
    <xf numFmtId="0" fontId="0" fillId="39" borderId="18" xfId="61" applyFont="1" applyFill="1" applyBorder="1" applyAlignment="1">
      <alignment vertical="center"/>
      <protection/>
    </xf>
    <xf numFmtId="0" fontId="0" fillId="39" borderId="20" xfId="61" applyFont="1" applyFill="1" applyBorder="1" applyAlignment="1">
      <alignment vertical="center"/>
      <protection/>
    </xf>
    <xf numFmtId="0" fontId="0" fillId="39" borderId="21" xfId="61" applyFont="1" applyFill="1" applyBorder="1" applyAlignment="1">
      <alignment vertical="center"/>
      <protection/>
    </xf>
    <xf numFmtId="0" fontId="0" fillId="39" borderId="16" xfId="61" applyFont="1" applyFill="1" applyBorder="1" applyAlignment="1">
      <alignment horizontal="center" vertical="center"/>
      <protection/>
    </xf>
    <xf numFmtId="0" fontId="108" fillId="33" borderId="15" xfId="61" applyFont="1" applyFill="1" applyBorder="1" applyAlignment="1">
      <alignment horizontal="center" vertical="center"/>
      <protection/>
    </xf>
    <xf numFmtId="0" fontId="108" fillId="33" borderId="15" xfId="61" applyNumberFormat="1" applyFont="1" applyFill="1" applyBorder="1" applyAlignment="1">
      <alignment horizontal="center" vertical="center"/>
      <protection/>
    </xf>
    <xf numFmtId="165" fontId="15" fillId="39" borderId="15" xfId="61" applyNumberFormat="1" applyFont="1" applyFill="1" applyBorder="1" applyAlignment="1">
      <alignment horizontal="center" vertical="center"/>
      <protection/>
    </xf>
    <xf numFmtId="0" fontId="0" fillId="39" borderId="18" xfId="6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 vertical="center"/>
    </xf>
    <xf numFmtId="235" fontId="4" fillId="0" borderId="15" xfId="0" applyNumberFormat="1" applyFont="1" applyFill="1" applyBorder="1" applyAlignment="1">
      <alignment horizontal="center" vertical="center"/>
    </xf>
    <xf numFmtId="257" fontId="4" fillId="0" borderId="15" xfId="0" applyNumberFormat="1" applyFont="1" applyFill="1" applyBorder="1" applyAlignment="1">
      <alignment horizontal="center" vertical="center"/>
    </xf>
    <xf numFmtId="257" fontId="107" fillId="0" borderId="15" xfId="0" applyNumberFormat="1" applyFont="1" applyFill="1" applyBorder="1" applyAlignment="1">
      <alignment horizontal="center" vertical="center"/>
    </xf>
    <xf numFmtId="234" fontId="4" fillId="0" borderId="15" xfId="0" applyNumberFormat="1" applyFont="1" applyFill="1" applyBorder="1" applyAlignment="1">
      <alignment horizontal="center" vertical="center"/>
    </xf>
    <xf numFmtId="237" fontId="4" fillId="0" borderId="15" xfId="0" applyNumberFormat="1" applyFont="1" applyFill="1" applyBorder="1" applyAlignment="1">
      <alignment horizontal="center" vertical="center"/>
    </xf>
    <xf numFmtId="236" fontId="6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169" fontId="6" fillId="0" borderId="15" xfId="0" applyNumberFormat="1" applyFont="1" applyFill="1" applyBorder="1" applyAlignment="1">
      <alignment horizontal="center"/>
    </xf>
    <xf numFmtId="255" fontId="107" fillId="33" borderId="15" xfId="0" applyNumberFormat="1" applyFont="1" applyFill="1" applyBorder="1" applyAlignment="1">
      <alignment horizontal="center"/>
    </xf>
    <xf numFmtId="255" fontId="108" fillId="33" borderId="15" xfId="0" applyNumberFormat="1" applyFont="1" applyFill="1" applyBorder="1" applyAlignment="1">
      <alignment horizontal="center"/>
    </xf>
    <xf numFmtId="0" fontId="0" fillId="40" borderId="15" xfId="0" applyFont="1" applyFill="1" applyBorder="1" applyAlignment="1">
      <alignment horizontal="center" vertical="center"/>
    </xf>
    <xf numFmtId="173" fontId="108" fillId="33" borderId="15" xfId="0" applyNumberFormat="1" applyFont="1" applyFill="1" applyBorder="1" applyAlignment="1">
      <alignment horizontal="center"/>
    </xf>
    <xf numFmtId="0" fontId="109" fillId="34" borderId="0" xfId="47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168" fontId="4" fillId="0" borderId="15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5" xfId="0" applyFont="1" applyFill="1" applyBorder="1" applyAlignment="1">
      <alignment vertical="center"/>
    </xf>
    <xf numFmtId="224" fontId="6" fillId="0" borderId="15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7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165" fontId="5" fillId="0" borderId="15" xfId="0" applyNumberFormat="1" applyFont="1" applyFill="1" applyBorder="1" applyAlignment="1">
      <alignment horizontal="center" vertical="center"/>
    </xf>
    <xf numFmtId="240" fontId="6" fillId="0" borderId="15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horizontal="center"/>
    </xf>
    <xf numFmtId="235" fontId="4" fillId="0" borderId="0" xfId="0" applyNumberFormat="1" applyFont="1" applyFill="1" applyBorder="1" applyAlignment="1">
      <alignment horizontal="center" vertical="center"/>
    </xf>
    <xf numFmtId="257" fontId="4" fillId="0" borderId="0" xfId="0" applyNumberFormat="1" applyFont="1" applyFill="1" applyBorder="1" applyAlignment="1">
      <alignment horizontal="center" vertical="center"/>
    </xf>
    <xf numFmtId="257" fontId="107" fillId="0" borderId="0" xfId="0" applyNumberFormat="1" applyFont="1" applyFill="1" applyBorder="1" applyAlignment="1">
      <alignment horizontal="center" vertical="center"/>
    </xf>
    <xf numFmtId="234" fontId="4" fillId="0" borderId="0" xfId="0" applyNumberFormat="1" applyFont="1" applyFill="1" applyBorder="1" applyAlignment="1">
      <alignment horizontal="center" vertical="center"/>
    </xf>
    <xf numFmtId="237" fontId="4" fillId="0" borderId="0" xfId="0" applyNumberFormat="1" applyFont="1" applyFill="1" applyBorder="1" applyAlignment="1">
      <alignment horizontal="center" vertical="center"/>
    </xf>
    <xf numFmtId="236" fontId="6" fillId="0" borderId="0" xfId="0" applyNumberFormat="1" applyFont="1" applyFill="1" applyBorder="1" applyAlignment="1">
      <alignment horizontal="center" vertical="center"/>
    </xf>
    <xf numFmtId="0" fontId="7" fillId="41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" fillId="34" borderId="0" xfId="47" applyFont="1" applyFill="1" applyBorder="1" applyAlignment="1">
      <alignment horizontal="left" vertical="top" wrapText="1"/>
      <protection/>
    </xf>
    <xf numFmtId="0" fontId="0" fillId="34" borderId="14" xfId="47" applyFill="1" applyBorder="1" applyAlignment="1">
      <alignment horizontal="left" vertical="center" textRotation="90" wrapText="1"/>
      <protection/>
    </xf>
    <xf numFmtId="0" fontId="9" fillId="34" borderId="0" xfId="47" applyFont="1" applyFill="1" applyBorder="1" applyAlignment="1">
      <alignment horizontal="center" vertical="top" wrapText="1"/>
      <protection/>
    </xf>
    <xf numFmtId="0" fontId="110" fillId="34" borderId="36" xfId="47" applyFont="1" applyFill="1" applyBorder="1" applyAlignment="1">
      <alignment horizontal="center"/>
      <protection/>
    </xf>
    <xf numFmtId="0" fontId="0" fillId="34" borderId="38" xfId="47" applyFont="1" applyFill="1" applyBorder="1" applyAlignment="1">
      <alignment horizontal="right"/>
      <protection/>
    </xf>
    <xf numFmtId="0" fontId="110" fillId="33" borderId="18" xfId="0" applyFont="1" applyFill="1" applyBorder="1" applyAlignment="1">
      <alignment horizontal="center"/>
    </xf>
    <xf numFmtId="0" fontId="110" fillId="33" borderId="20" xfId="0" applyFont="1" applyFill="1" applyBorder="1" applyAlignment="1">
      <alignment horizontal="center"/>
    </xf>
    <xf numFmtId="0" fontId="110" fillId="33" borderId="21" xfId="0" applyFont="1" applyFill="1" applyBorder="1" applyAlignment="1">
      <alignment horizontal="center"/>
    </xf>
    <xf numFmtId="170" fontId="4" fillId="33" borderId="0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justify"/>
    </xf>
    <xf numFmtId="0" fontId="0" fillId="33" borderId="0" xfId="0" applyFill="1" applyBorder="1" applyAlignment="1">
      <alignment horizontal="center" vertical="center"/>
    </xf>
    <xf numFmtId="172" fontId="6" fillId="33" borderId="2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justify"/>
    </xf>
    <xf numFmtId="0" fontId="9" fillId="33" borderId="20" xfId="0" applyFont="1" applyFill="1" applyBorder="1" applyAlignment="1">
      <alignment horizontal="center" vertical="justify"/>
    </xf>
    <xf numFmtId="0" fontId="0" fillId="33" borderId="22" xfId="0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distributed" vertical="center"/>
    </xf>
    <xf numFmtId="0" fontId="0" fillId="33" borderId="18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distributed"/>
    </xf>
    <xf numFmtId="0" fontId="0" fillId="33" borderId="19" xfId="0" applyFont="1" applyFill="1" applyBorder="1" applyAlignment="1">
      <alignment horizontal="center" vertical="distributed"/>
    </xf>
    <xf numFmtId="0" fontId="0" fillId="33" borderId="12" xfId="0" applyFont="1" applyFill="1" applyBorder="1" applyAlignment="1">
      <alignment horizontal="center" vertical="distributed"/>
    </xf>
    <xf numFmtId="0" fontId="0" fillId="33" borderId="16" xfId="0" applyFont="1" applyFill="1" applyBorder="1" applyAlignment="1">
      <alignment horizontal="center" vertical="distributed"/>
    </xf>
    <xf numFmtId="0" fontId="0" fillId="33" borderId="18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3" fillId="33" borderId="18" xfId="0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0" fontId="0" fillId="33" borderId="2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distributed" vertical="distributed"/>
    </xf>
    <xf numFmtId="0" fontId="7" fillId="33" borderId="23" xfId="0" applyFont="1" applyFill="1" applyBorder="1" applyAlignment="1">
      <alignment horizontal="distributed" vertical="distributed"/>
    </xf>
    <xf numFmtId="0" fontId="110" fillId="34" borderId="18" xfId="47" applyFont="1" applyFill="1" applyBorder="1" applyAlignment="1">
      <alignment horizontal="center"/>
      <protection/>
    </xf>
    <xf numFmtId="0" fontId="110" fillId="34" borderId="20" xfId="47" applyFont="1" applyFill="1" applyBorder="1" applyAlignment="1">
      <alignment horizontal="center"/>
      <protection/>
    </xf>
    <xf numFmtId="0" fontId="110" fillId="34" borderId="21" xfId="47" applyFont="1" applyFill="1" applyBorder="1" applyAlignment="1">
      <alignment horizontal="center"/>
      <protection/>
    </xf>
    <xf numFmtId="0" fontId="7" fillId="33" borderId="22" xfId="58" applyFont="1" applyFill="1" applyBorder="1" applyAlignment="1">
      <alignment horizontal="center" vertical="center" wrapText="1"/>
      <protection/>
    </xf>
    <xf numFmtId="0" fontId="7" fillId="33" borderId="24" xfId="58" applyFont="1" applyFill="1" applyBorder="1" applyAlignment="1">
      <alignment horizontal="center" vertical="center" wrapText="1"/>
      <protection/>
    </xf>
    <xf numFmtId="0" fontId="0" fillId="33" borderId="15" xfId="58" applyFont="1" applyFill="1" applyBorder="1" applyAlignment="1">
      <alignment horizontal="center" vertical="center"/>
      <protection/>
    </xf>
    <xf numFmtId="171" fontId="15" fillId="33" borderId="15" xfId="58" applyNumberFormat="1" applyFont="1" applyFill="1" applyBorder="1" applyAlignment="1">
      <alignment horizontal="center" vertical="center"/>
      <protection/>
    </xf>
    <xf numFmtId="0" fontId="90" fillId="33" borderId="22" xfId="58" applyFill="1" applyBorder="1" applyAlignment="1">
      <alignment horizontal="center" vertical="center" textRotation="90" wrapText="1"/>
      <protection/>
    </xf>
    <xf numFmtId="0" fontId="90" fillId="33" borderId="23" xfId="58" applyFill="1" applyBorder="1" applyAlignment="1">
      <alignment horizontal="center" vertical="center" textRotation="90" wrapText="1"/>
      <protection/>
    </xf>
    <xf numFmtId="0" fontId="90" fillId="33" borderId="24" xfId="58" applyFill="1" applyBorder="1" applyAlignment="1">
      <alignment horizontal="center" vertical="center" textRotation="90" wrapText="1"/>
      <protection/>
    </xf>
    <xf numFmtId="0" fontId="7" fillId="33" borderId="15" xfId="58" applyFont="1" applyFill="1" applyBorder="1" applyAlignment="1">
      <alignment horizontal="center" vertical="center"/>
      <protection/>
    </xf>
    <xf numFmtId="0" fontId="0" fillId="33" borderId="18" xfId="58" applyFont="1" applyFill="1" applyBorder="1" applyAlignment="1">
      <alignment horizontal="center" vertical="center"/>
      <protection/>
    </xf>
    <xf numFmtId="0" fontId="0" fillId="33" borderId="21" xfId="58" applyFont="1" applyFill="1" applyBorder="1" applyAlignment="1">
      <alignment horizontal="center" vertical="center"/>
      <protection/>
    </xf>
    <xf numFmtId="0" fontId="0" fillId="33" borderId="22" xfId="58" applyFont="1" applyFill="1" applyBorder="1" applyAlignment="1">
      <alignment horizontal="center" vertical="center"/>
      <protection/>
    </xf>
    <xf numFmtId="0" fontId="0" fillId="33" borderId="24" xfId="58" applyFont="1" applyFill="1" applyBorder="1" applyAlignment="1">
      <alignment horizontal="center" vertical="center"/>
      <protection/>
    </xf>
    <xf numFmtId="0" fontId="90" fillId="33" borderId="15" xfId="61" applyFont="1" applyFill="1" applyBorder="1" applyAlignment="1">
      <alignment horizontal="center" vertical="center"/>
      <protection/>
    </xf>
    <xf numFmtId="0" fontId="0" fillId="39" borderId="22" xfId="61" applyFont="1" applyFill="1" applyBorder="1" applyAlignment="1">
      <alignment horizontal="center" vertical="center"/>
      <protection/>
    </xf>
    <xf numFmtId="0" fontId="0" fillId="39" borderId="24" xfId="61" applyFont="1" applyFill="1" applyBorder="1" applyAlignment="1">
      <alignment horizontal="center" vertical="center"/>
      <protection/>
    </xf>
    <xf numFmtId="0" fontId="0" fillId="39" borderId="15" xfId="61" applyFont="1" applyFill="1" applyBorder="1" applyAlignment="1">
      <alignment horizontal="center" vertical="center"/>
      <protection/>
    </xf>
    <xf numFmtId="0" fontId="90" fillId="39" borderId="22" xfId="61" applyFill="1" applyBorder="1" applyAlignment="1">
      <alignment horizontal="center" vertical="center"/>
      <protection/>
    </xf>
    <xf numFmtId="0" fontId="90" fillId="39" borderId="23" xfId="61" applyFill="1" applyBorder="1" applyAlignment="1">
      <alignment horizontal="center" vertical="center"/>
      <protection/>
    </xf>
    <xf numFmtId="0" fontId="90" fillId="39" borderId="24" xfId="61" applyFill="1" applyBorder="1" applyAlignment="1">
      <alignment horizontal="center" vertical="center"/>
      <protection/>
    </xf>
    <xf numFmtId="49" fontId="0" fillId="33" borderId="22" xfId="61" applyNumberFormat="1" applyFont="1" applyFill="1" applyBorder="1" applyAlignment="1">
      <alignment horizontal="center" vertical="center"/>
      <protection/>
    </xf>
    <xf numFmtId="49" fontId="0" fillId="33" borderId="24" xfId="61" applyNumberFormat="1" applyFont="1" applyFill="1" applyBorder="1" applyAlignment="1">
      <alignment horizontal="center" vertical="center"/>
      <protection/>
    </xf>
    <xf numFmtId="0" fontId="8" fillId="33" borderId="15" xfId="61" applyFont="1" applyFill="1" applyBorder="1" applyAlignment="1">
      <alignment horizontal="center" vertical="center"/>
      <protection/>
    </xf>
    <xf numFmtId="0" fontId="0" fillId="39" borderId="23" xfId="61" applyFont="1" applyFill="1" applyBorder="1" applyAlignment="1">
      <alignment horizontal="center" vertical="center"/>
      <protection/>
    </xf>
    <xf numFmtId="0" fontId="90" fillId="39" borderId="18" xfId="61" applyFill="1" applyBorder="1" applyAlignment="1">
      <alignment horizontal="center" vertical="center"/>
      <protection/>
    </xf>
    <xf numFmtId="0" fontId="90" fillId="39" borderId="20" xfId="61" applyFill="1" applyBorder="1" applyAlignment="1">
      <alignment horizontal="center" vertical="center"/>
      <protection/>
    </xf>
    <xf numFmtId="0" fontId="90" fillId="39" borderId="21" xfId="61" applyFill="1" applyBorder="1" applyAlignment="1">
      <alignment horizontal="center" vertical="center"/>
      <protection/>
    </xf>
    <xf numFmtId="0" fontId="90" fillId="39" borderId="10" xfId="61" applyFill="1" applyBorder="1" applyAlignment="1">
      <alignment horizontal="center" vertical="center"/>
      <protection/>
    </xf>
    <xf numFmtId="0" fontId="90" fillId="39" borderId="19" xfId="61" applyFill="1" applyBorder="1" applyAlignment="1">
      <alignment horizontal="center" vertical="center"/>
      <protection/>
    </xf>
    <xf numFmtId="0" fontId="90" fillId="39" borderId="12" xfId="61" applyFill="1" applyBorder="1" applyAlignment="1">
      <alignment horizontal="center" vertical="center"/>
      <protection/>
    </xf>
    <xf numFmtId="0" fontId="90" fillId="39" borderId="16" xfId="61" applyFill="1" applyBorder="1" applyAlignment="1">
      <alignment horizontal="center" vertical="center"/>
      <protection/>
    </xf>
    <xf numFmtId="0" fontId="7" fillId="33" borderId="18" xfId="61" applyFont="1" applyFill="1" applyBorder="1" applyAlignment="1">
      <alignment horizontal="center" vertical="center"/>
      <protection/>
    </xf>
    <xf numFmtId="0" fontId="7" fillId="33" borderId="20" xfId="61" applyFont="1" applyFill="1" applyBorder="1" applyAlignment="1">
      <alignment horizontal="center" vertical="center"/>
      <protection/>
    </xf>
    <xf numFmtId="0" fontId="7" fillId="33" borderId="21" xfId="61" applyFont="1" applyFill="1" applyBorder="1" applyAlignment="1">
      <alignment horizontal="center" vertical="center"/>
      <protection/>
    </xf>
    <xf numFmtId="0" fontId="8" fillId="33" borderId="22" xfId="61" applyFont="1" applyFill="1" applyBorder="1" applyAlignment="1">
      <alignment horizontal="center" vertical="center"/>
      <protection/>
    </xf>
    <xf numFmtId="0" fontId="8" fillId="33" borderId="23" xfId="61" applyFont="1" applyFill="1" applyBorder="1" applyAlignment="1">
      <alignment horizontal="center" vertical="center"/>
      <protection/>
    </xf>
    <xf numFmtId="0" fontId="8" fillId="33" borderId="24" xfId="61" applyFont="1" applyFill="1" applyBorder="1" applyAlignment="1">
      <alignment horizontal="center" vertical="center"/>
      <protection/>
    </xf>
    <xf numFmtId="0" fontId="0" fillId="39" borderId="10" xfId="61" applyFont="1" applyFill="1" applyBorder="1" applyAlignment="1">
      <alignment horizontal="center" vertical="center"/>
      <protection/>
    </xf>
    <xf numFmtId="0" fontId="0" fillId="39" borderId="19" xfId="61" applyFont="1" applyFill="1" applyBorder="1" applyAlignment="1">
      <alignment horizontal="center" vertical="center"/>
      <protection/>
    </xf>
    <xf numFmtId="0" fontId="0" fillId="39" borderId="12" xfId="61" applyFont="1" applyFill="1" applyBorder="1" applyAlignment="1">
      <alignment horizontal="center" vertical="center"/>
      <protection/>
    </xf>
    <xf numFmtId="0" fontId="0" fillId="39" borderId="16" xfId="61" applyFont="1" applyFill="1" applyBorder="1" applyAlignment="1">
      <alignment horizontal="center" vertical="center"/>
      <protection/>
    </xf>
    <xf numFmtId="0" fontId="7" fillId="33" borderId="15" xfId="61" applyFont="1" applyFill="1" applyBorder="1" applyAlignment="1">
      <alignment horizontal="center" vertical="center"/>
      <protection/>
    </xf>
    <xf numFmtId="0" fontId="7" fillId="33" borderId="10" xfId="61" applyFont="1" applyFill="1" applyBorder="1" applyAlignment="1">
      <alignment horizontal="distributed" vertical="center"/>
      <protection/>
    </xf>
    <xf numFmtId="0" fontId="7" fillId="33" borderId="19" xfId="61" applyFont="1" applyFill="1" applyBorder="1" applyAlignment="1">
      <alignment horizontal="distributed" vertical="center"/>
      <protection/>
    </xf>
    <xf numFmtId="0" fontId="7" fillId="33" borderId="12" xfId="61" applyFont="1" applyFill="1" applyBorder="1" applyAlignment="1">
      <alignment horizontal="distributed" vertical="center"/>
      <protection/>
    </xf>
    <xf numFmtId="0" fontId="7" fillId="33" borderId="16" xfId="61" applyFont="1" applyFill="1" applyBorder="1" applyAlignment="1">
      <alignment horizontal="distributed" vertical="center"/>
      <protection/>
    </xf>
    <xf numFmtId="0" fontId="0" fillId="39" borderId="22" xfId="61" applyFont="1" applyFill="1" applyBorder="1" applyAlignment="1">
      <alignment horizontal="center" vertical="center" textRotation="90"/>
      <protection/>
    </xf>
    <xf numFmtId="0" fontId="0" fillId="39" borderId="23" xfId="61" applyFont="1" applyFill="1" applyBorder="1" applyAlignment="1">
      <alignment horizontal="center" vertical="center" textRotation="90"/>
      <protection/>
    </xf>
    <xf numFmtId="0" fontId="0" fillId="39" borderId="24" xfId="61" applyFont="1" applyFill="1" applyBorder="1" applyAlignment="1">
      <alignment horizontal="center" vertical="center" textRotation="90"/>
      <protection/>
    </xf>
    <xf numFmtId="0" fontId="90" fillId="33" borderId="22" xfId="61" applyFill="1" applyBorder="1" applyAlignment="1">
      <alignment horizontal="center" vertical="center" textRotation="90"/>
      <protection/>
    </xf>
    <xf numFmtId="0" fontId="90" fillId="33" borderId="23" xfId="61" applyFill="1" applyBorder="1" applyAlignment="1">
      <alignment horizontal="center" vertical="center" textRotation="90"/>
      <protection/>
    </xf>
    <xf numFmtId="0" fontId="90" fillId="33" borderId="24" xfId="61" applyFill="1" applyBorder="1" applyAlignment="1">
      <alignment horizontal="center" vertical="center" textRotation="90"/>
      <protection/>
    </xf>
    <xf numFmtId="175" fontId="108" fillId="39" borderId="0" xfId="61" applyNumberFormat="1" applyFont="1" applyFill="1" applyBorder="1" applyAlignment="1">
      <alignment horizontal="left" vertical="center"/>
      <protection/>
    </xf>
    <xf numFmtId="175" fontId="108" fillId="39" borderId="13" xfId="61" applyNumberFormat="1" applyFont="1" applyFill="1" applyBorder="1" applyAlignment="1">
      <alignment horizontal="left" vertical="center"/>
      <protection/>
    </xf>
    <xf numFmtId="175" fontId="107" fillId="39" borderId="0" xfId="61" applyNumberFormat="1" applyFont="1" applyFill="1" applyBorder="1" applyAlignment="1">
      <alignment horizontal="left" vertical="center"/>
      <protection/>
    </xf>
    <xf numFmtId="167" fontId="107" fillId="39" borderId="13" xfId="61" applyNumberFormat="1" applyFont="1" applyFill="1" applyBorder="1" applyAlignment="1">
      <alignment horizontal="left" vertical="center"/>
      <protection/>
    </xf>
    <xf numFmtId="0" fontId="0" fillId="39" borderId="22" xfId="61" applyFont="1" applyFill="1" applyBorder="1" applyAlignment="1">
      <alignment horizontal="distributed" vertical="center"/>
      <protection/>
    </xf>
    <xf numFmtId="0" fontId="0" fillId="39" borderId="23" xfId="61" applyFont="1" applyFill="1" applyBorder="1" applyAlignment="1">
      <alignment horizontal="distributed" vertical="center"/>
      <protection/>
    </xf>
    <xf numFmtId="0" fontId="0" fillId="39" borderId="24" xfId="61" applyFont="1" applyFill="1" applyBorder="1" applyAlignment="1">
      <alignment horizontal="distributed" vertical="center"/>
      <protection/>
    </xf>
    <xf numFmtId="170" fontId="4" fillId="33" borderId="15" xfId="61" applyNumberFormat="1" applyFont="1" applyFill="1" applyBorder="1" applyAlignment="1">
      <alignment horizontal="left" vertical="center"/>
      <protection/>
    </xf>
    <xf numFmtId="0" fontId="105" fillId="33" borderId="18" xfId="61" applyFont="1" applyFill="1" applyBorder="1" applyAlignment="1">
      <alignment horizontal="center"/>
      <protection/>
    </xf>
    <xf numFmtId="0" fontId="105" fillId="33" borderId="20" xfId="61" applyFont="1" applyFill="1" applyBorder="1" applyAlignment="1">
      <alignment horizontal="center"/>
      <protection/>
    </xf>
    <xf numFmtId="0" fontId="105" fillId="33" borderId="21" xfId="61" applyFont="1" applyFill="1" applyBorder="1" applyAlignment="1">
      <alignment horizontal="center"/>
      <protection/>
    </xf>
    <xf numFmtId="168" fontId="4" fillId="33" borderId="15" xfId="61" applyNumberFormat="1" applyFont="1" applyFill="1" applyBorder="1" applyAlignment="1">
      <alignment horizontal="left" vertical="center"/>
      <protection/>
    </xf>
    <xf numFmtId="188" fontId="6" fillId="33" borderId="13" xfId="0" applyNumberFormat="1" applyFont="1" applyFill="1" applyBorder="1" applyAlignment="1">
      <alignment horizontal="center"/>
    </xf>
    <xf numFmtId="188" fontId="6" fillId="33" borderId="16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0" fontId="29" fillId="33" borderId="14" xfId="0" applyFont="1" applyFill="1" applyBorder="1" applyAlignment="1">
      <alignment horizontal="right"/>
    </xf>
    <xf numFmtId="0" fontId="29" fillId="33" borderId="0" xfId="0" applyFont="1" applyFill="1" applyBorder="1" applyAlignment="1">
      <alignment horizontal="right"/>
    </xf>
    <xf numFmtId="187" fontId="6" fillId="33" borderId="12" xfId="0" applyNumberFormat="1" applyFont="1" applyFill="1" applyBorder="1" applyAlignment="1">
      <alignment horizontal="center"/>
    </xf>
    <xf numFmtId="187" fontId="6" fillId="33" borderId="13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186" fontId="6" fillId="33" borderId="12" xfId="0" applyNumberFormat="1" applyFont="1" applyFill="1" applyBorder="1" applyAlignment="1">
      <alignment horizontal="center"/>
    </xf>
    <xf numFmtId="186" fontId="6" fillId="33" borderId="16" xfId="0" applyNumberFormat="1" applyFont="1" applyFill="1" applyBorder="1" applyAlignment="1">
      <alignment horizontal="center"/>
    </xf>
    <xf numFmtId="0" fontId="0" fillId="33" borderId="20" xfId="0" applyFill="1" applyBorder="1" applyAlignment="1">
      <alignment horizontal="left"/>
    </xf>
    <xf numFmtId="0" fontId="0" fillId="33" borderId="18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8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0" fillId="33" borderId="20" xfId="0" applyFill="1" applyBorder="1" applyAlignment="1">
      <alignment horizontal="right"/>
    </xf>
    <xf numFmtId="0" fontId="22" fillId="33" borderId="14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194" fontId="6" fillId="33" borderId="12" xfId="0" applyNumberFormat="1" applyFont="1" applyFill="1" applyBorder="1" applyAlignment="1">
      <alignment horizontal="center"/>
    </xf>
    <xf numFmtId="194" fontId="6" fillId="33" borderId="16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176" fontId="18" fillId="33" borderId="10" xfId="0" applyNumberFormat="1" applyFont="1" applyFill="1" applyBorder="1" applyAlignment="1">
      <alignment horizontal="center" vertical="center"/>
    </xf>
    <xf numFmtId="176" fontId="18" fillId="33" borderId="19" xfId="0" applyNumberFormat="1" applyFont="1" applyFill="1" applyBorder="1" applyAlignment="1">
      <alignment horizontal="center" vertical="center"/>
    </xf>
    <xf numFmtId="11" fontId="0" fillId="33" borderId="18" xfId="0" applyNumberFormat="1" applyFill="1" applyBorder="1" applyAlignment="1">
      <alignment horizontal="left"/>
    </xf>
    <xf numFmtId="11" fontId="0" fillId="33" borderId="20" xfId="0" applyNumberFormat="1" applyFill="1" applyBorder="1" applyAlignment="1">
      <alignment horizontal="left"/>
    </xf>
    <xf numFmtId="11" fontId="0" fillId="33" borderId="21" xfId="0" applyNumberFormat="1" applyFill="1" applyBorder="1" applyAlignment="1">
      <alignment horizontal="left"/>
    </xf>
    <xf numFmtId="0" fontId="18" fillId="33" borderId="10" xfId="0" applyFont="1" applyFill="1" applyBorder="1" applyAlignment="1">
      <alignment horizontal="left" vertical="center"/>
    </xf>
    <xf numFmtId="0" fontId="18" fillId="33" borderId="19" xfId="0" applyFont="1" applyFill="1" applyBorder="1" applyAlignment="1">
      <alignment horizontal="left" vertical="center"/>
    </xf>
    <xf numFmtId="189" fontId="6" fillId="33" borderId="12" xfId="0" applyNumberFormat="1" applyFont="1" applyFill="1" applyBorder="1" applyAlignment="1">
      <alignment horizontal="center"/>
    </xf>
    <xf numFmtId="189" fontId="6" fillId="33" borderId="16" xfId="0" applyNumberFormat="1" applyFont="1" applyFill="1" applyBorder="1" applyAlignment="1">
      <alignment horizontal="center"/>
    </xf>
    <xf numFmtId="191" fontId="6" fillId="33" borderId="12" xfId="0" applyNumberFormat="1" applyFont="1" applyFill="1" applyBorder="1" applyAlignment="1">
      <alignment horizontal="center"/>
    </xf>
    <xf numFmtId="191" fontId="6" fillId="33" borderId="13" xfId="0" applyNumberFormat="1" applyFont="1" applyFill="1" applyBorder="1" applyAlignment="1">
      <alignment horizontal="center"/>
    </xf>
    <xf numFmtId="192" fontId="6" fillId="33" borderId="12" xfId="0" applyNumberFormat="1" applyFont="1" applyFill="1" applyBorder="1" applyAlignment="1">
      <alignment horizontal="center"/>
    </xf>
    <xf numFmtId="192" fontId="6" fillId="33" borderId="13" xfId="0" applyNumberFormat="1" applyFont="1" applyFill="1" applyBorder="1" applyAlignment="1">
      <alignment horizontal="center"/>
    </xf>
    <xf numFmtId="190" fontId="6" fillId="33" borderId="13" xfId="0" applyNumberFormat="1" applyFont="1" applyFill="1" applyBorder="1" applyAlignment="1">
      <alignment horizontal="center"/>
    </xf>
    <xf numFmtId="190" fontId="6" fillId="33" borderId="16" xfId="0" applyNumberFormat="1" applyFont="1" applyFill="1" applyBorder="1" applyAlignment="1">
      <alignment horizontal="center"/>
    </xf>
    <xf numFmtId="193" fontId="6" fillId="33" borderId="13" xfId="0" applyNumberFormat="1" applyFont="1" applyFill="1" applyBorder="1" applyAlignment="1">
      <alignment horizontal="center"/>
    </xf>
    <xf numFmtId="193" fontId="6" fillId="33" borderId="16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 horizontal="left"/>
    </xf>
    <xf numFmtId="0" fontId="0" fillId="33" borderId="18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14" xfId="0" applyFill="1" applyBorder="1" applyAlignment="1">
      <alignment horizontal="center"/>
    </xf>
    <xf numFmtId="0" fontId="0" fillId="33" borderId="22" xfId="0" applyFill="1" applyBorder="1" applyAlignment="1">
      <alignment horizontal="center" textRotation="90"/>
    </xf>
    <xf numFmtId="0" fontId="0" fillId="33" borderId="23" xfId="0" applyFill="1" applyBorder="1" applyAlignment="1">
      <alignment horizontal="center" textRotation="90"/>
    </xf>
    <xf numFmtId="0" fontId="30" fillId="33" borderId="0" xfId="0" applyFont="1" applyFill="1" applyBorder="1" applyAlignment="1">
      <alignment horizontal="left" vertical="justify"/>
    </xf>
    <xf numFmtId="0" fontId="0" fillId="33" borderId="18" xfId="0" applyFill="1" applyBorder="1" applyAlignment="1">
      <alignment horizontal="center" vertical="justify"/>
    </xf>
    <xf numFmtId="0" fontId="0" fillId="33" borderId="21" xfId="0" applyFill="1" applyBorder="1" applyAlignment="1">
      <alignment horizontal="center" vertical="justify"/>
    </xf>
    <xf numFmtId="0" fontId="0" fillId="33" borderId="0" xfId="0" applyFill="1" applyBorder="1" applyAlignment="1">
      <alignment horizontal="left" vertical="justify"/>
    </xf>
    <xf numFmtId="198" fontId="4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207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distributed"/>
    </xf>
    <xf numFmtId="0" fontId="0" fillId="33" borderId="24" xfId="0" applyFont="1" applyFill="1" applyBorder="1" applyAlignment="1">
      <alignment horizontal="center" vertical="distributed"/>
    </xf>
    <xf numFmtId="0" fontId="0" fillId="33" borderId="18" xfId="0" applyFont="1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0" fontId="13" fillId="33" borderId="18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207" fontId="9" fillId="33" borderId="11" xfId="0" applyNumberFormat="1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justify"/>
    </xf>
    <xf numFmtId="207" fontId="9" fillId="33" borderId="0" xfId="0" applyNumberFormat="1" applyFont="1" applyFill="1" applyBorder="1" applyAlignment="1">
      <alignment horizontal="center"/>
    </xf>
    <xf numFmtId="170" fontId="0" fillId="33" borderId="0" xfId="0" applyNumberFormat="1" applyFill="1" applyBorder="1" applyAlignment="1">
      <alignment horizontal="center" vertical="center" textRotation="90"/>
    </xf>
    <xf numFmtId="170" fontId="0" fillId="33" borderId="0" xfId="0" applyNumberFormat="1" applyFill="1" applyBorder="1" applyAlignment="1">
      <alignment horizontal="left" textRotation="90"/>
    </xf>
    <xf numFmtId="170" fontId="0" fillId="33" borderId="0" xfId="0" applyNumberFormat="1" applyFont="1" applyFill="1" applyBorder="1" applyAlignment="1">
      <alignment horizontal="center" vertical="center"/>
    </xf>
    <xf numFmtId="170" fontId="0" fillId="33" borderId="0" xfId="0" applyNumberFormat="1" applyFont="1" applyFill="1" applyBorder="1" applyAlignment="1">
      <alignment horizontal="left" vertical="center"/>
    </xf>
    <xf numFmtId="197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165" fontId="15" fillId="33" borderId="21" xfId="0" applyNumberFormat="1" applyFont="1" applyFill="1" applyBorder="1" applyAlignment="1">
      <alignment horizontal="center" vertical="center"/>
    </xf>
    <xf numFmtId="165" fontId="15" fillId="33" borderId="15" xfId="0" applyNumberFormat="1" applyFont="1" applyFill="1" applyBorder="1" applyAlignment="1">
      <alignment horizontal="center" vertical="center"/>
    </xf>
    <xf numFmtId="170" fontId="0" fillId="33" borderId="0" xfId="0" applyNumberFormat="1" applyFont="1" applyFill="1" applyBorder="1" applyAlignment="1">
      <alignment horizontal="left" vertical="top"/>
    </xf>
    <xf numFmtId="207" fontId="9" fillId="33" borderId="17" xfId="0" applyNumberFormat="1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218" fontId="0" fillId="33" borderId="0" xfId="0" applyNumberFormat="1" applyFont="1" applyFill="1" applyBorder="1" applyAlignment="1">
      <alignment horizontal="left" textRotation="90"/>
    </xf>
    <xf numFmtId="0" fontId="0" fillId="0" borderId="0" xfId="0" applyFont="1" applyAlignment="1">
      <alignment horizontal="center" vertical="justify"/>
    </xf>
    <xf numFmtId="2" fontId="15" fillId="33" borderId="15" xfId="0" applyNumberFormat="1" applyFont="1" applyFill="1" applyBorder="1" applyAlignment="1">
      <alignment horizontal="center"/>
    </xf>
    <xf numFmtId="0" fontId="110" fillId="33" borderId="18" xfId="0" applyFont="1" applyFill="1" applyBorder="1" applyAlignment="1">
      <alignment horizontal="center" vertical="center"/>
    </xf>
    <xf numFmtId="0" fontId="110" fillId="33" borderId="20" xfId="0" applyFont="1" applyFill="1" applyBorder="1" applyAlignment="1">
      <alignment horizontal="center" vertical="center"/>
    </xf>
    <xf numFmtId="0" fontId="110" fillId="33" borderId="21" xfId="0" applyFont="1" applyFill="1" applyBorder="1" applyAlignment="1">
      <alignment horizontal="center" vertical="center"/>
    </xf>
    <xf numFmtId="0" fontId="18" fillId="33" borderId="14" xfId="0" applyNumberFormat="1" applyFont="1" applyFill="1" applyBorder="1" applyAlignment="1">
      <alignment horizontal="right" vertical="top"/>
    </xf>
    <xf numFmtId="0" fontId="18" fillId="33" borderId="0" xfId="0" applyNumberFormat="1" applyFont="1" applyFill="1" applyBorder="1" applyAlignment="1">
      <alignment horizontal="right" vertical="top"/>
    </xf>
    <xf numFmtId="0" fontId="0" fillId="33" borderId="22" xfId="0" applyNumberFormat="1" applyFont="1" applyFill="1" applyBorder="1" applyAlignment="1">
      <alignment horizontal="center" vertical="distributed"/>
    </xf>
    <xf numFmtId="0" fontId="0" fillId="33" borderId="24" xfId="0" applyNumberFormat="1" applyFont="1" applyFill="1" applyBorder="1" applyAlignment="1">
      <alignment horizontal="center" vertical="distributed"/>
    </xf>
    <xf numFmtId="0" fontId="0" fillId="33" borderId="18" xfId="0" applyNumberFormat="1" applyFont="1" applyFill="1" applyBorder="1" applyAlignment="1">
      <alignment horizontal="center" vertical="center"/>
    </xf>
    <xf numFmtId="0" fontId="0" fillId="33" borderId="20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41" fillId="33" borderId="15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0" xfId="0" applyFont="1" applyAlignment="1">
      <alignment horizontal="center"/>
    </xf>
    <xf numFmtId="0" fontId="34" fillId="33" borderId="13" xfId="0" applyFont="1" applyFill="1" applyBorder="1" applyAlignment="1">
      <alignment horizontal="center"/>
    </xf>
    <xf numFmtId="10" fontId="50" fillId="33" borderId="18" xfId="66" applyNumberFormat="1" applyFont="1" applyFill="1" applyBorder="1" applyAlignment="1">
      <alignment horizontal="left" vertical="center"/>
    </xf>
    <xf numFmtId="10" fontId="50" fillId="33" borderId="20" xfId="66" applyNumberFormat="1" applyFont="1" applyFill="1" applyBorder="1" applyAlignment="1">
      <alignment horizontal="left" vertical="center"/>
    </xf>
    <xf numFmtId="10" fontId="50" fillId="33" borderId="21" xfId="66" applyNumberFormat="1" applyFont="1" applyFill="1" applyBorder="1" applyAlignment="1">
      <alignment horizontal="left" vertical="center"/>
    </xf>
    <xf numFmtId="229" fontId="9" fillId="33" borderId="0" xfId="0" applyNumberFormat="1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232" fontId="50" fillId="33" borderId="14" xfId="0" applyNumberFormat="1" applyFont="1" applyFill="1" applyBorder="1" applyAlignment="1">
      <alignment horizontal="center" vertical="center"/>
    </xf>
    <xf numFmtId="232" fontId="50" fillId="33" borderId="0" xfId="0" applyNumberFormat="1" applyFont="1" applyFill="1" applyBorder="1" applyAlignment="1">
      <alignment horizontal="center" vertical="center"/>
    </xf>
    <xf numFmtId="233" fontId="50" fillId="33" borderId="14" xfId="0" applyNumberFormat="1" applyFont="1" applyFill="1" applyBorder="1" applyAlignment="1">
      <alignment horizontal="center" vertical="center"/>
    </xf>
    <xf numFmtId="233" fontId="50" fillId="33" borderId="0" xfId="0" applyNumberFormat="1" applyFont="1" applyFill="1" applyBorder="1" applyAlignment="1">
      <alignment horizontal="center" vertical="center"/>
    </xf>
    <xf numFmtId="0" fontId="0" fillId="0" borderId="15" xfId="62" applyBorder="1" applyAlignment="1">
      <alignment horizontal="center" wrapText="1"/>
      <protection/>
    </xf>
    <xf numFmtId="0" fontId="0" fillId="0" borderId="19" xfId="62" applyBorder="1" applyAlignment="1">
      <alignment horizontal="center" vertical="center"/>
      <protection/>
    </xf>
    <xf numFmtId="0" fontId="0" fillId="0" borderId="16" xfId="62" applyBorder="1" applyAlignment="1">
      <alignment horizontal="center" vertical="center"/>
      <protection/>
    </xf>
    <xf numFmtId="0" fontId="0" fillId="0" borderId="15" xfId="62" applyBorder="1" applyAlignment="1">
      <alignment horizontal="center"/>
      <protection/>
    </xf>
    <xf numFmtId="0" fontId="13" fillId="0" borderId="18" xfId="62" applyFont="1" applyBorder="1" applyAlignment="1">
      <alignment horizontal="center"/>
      <protection/>
    </xf>
    <xf numFmtId="0" fontId="13" fillId="0" borderId="20" xfId="62" applyFont="1" applyBorder="1" applyAlignment="1">
      <alignment horizontal="center"/>
      <protection/>
    </xf>
    <xf numFmtId="0" fontId="13" fillId="0" borderId="21" xfId="62" applyFont="1" applyBorder="1" applyAlignment="1">
      <alignment horizontal="center"/>
      <protection/>
    </xf>
    <xf numFmtId="0" fontId="0" fillId="40" borderId="15" xfId="0" applyFont="1" applyFill="1" applyBorder="1" applyAlignment="1">
      <alignment horizontal="center" vertical="center"/>
    </xf>
    <xf numFmtId="0" fontId="0" fillId="38" borderId="22" xfId="0" applyFont="1" applyFill="1" applyBorder="1" applyAlignment="1">
      <alignment horizontal="center" vertical="center"/>
    </xf>
    <xf numFmtId="0" fontId="0" fillId="38" borderId="24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13" fillId="33" borderId="45" xfId="0" applyFont="1" applyFill="1" applyBorder="1" applyAlignment="1">
      <alignment horizontal="center"/>
    </xf>
    <xf numFmtId="0" fontId="13" fillId="33" borderId="46" xfId="0" applyFont="1" applyFill="1" applyBorder="1" applyAlignment="1">
      <alignment horizontal="center"/>
    </xf>
    <xf numFmtId="0" fontId="13" fillId="33" borderId="47" xfId="0" applyFont="1" applyFill="1" applyBorder="1" applyAlignment="1">
      <alignment horizontal="center"/>
    </xf>
    <xf numFmtId="0" fontId="36" fillId="33" borderId="15" xfId="0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173" fontId="4" fillId="33" borderId="22" xfId="0" applyNumberFormat="1" applyFont="1" applyFill="1" applyBorder="1" applyAlignment="1">
      <alignment horizontal="center" vertical="center"/>
    </xf>
    <xf numFmtId="173" fontId="4" fillId="33" borderId="24" xfId="0" applyNumberFormat="1" applyFont="1" applyFill="1" applyBorder="1" applyAlignment="1">
      <alignment horizontal="center" vertical="center"/>
    </xf>
    <xf numFmtId="0" fontId="35" fillId="33" borderId="18" xfId="0" applyFont="1" applyFill="1" applyBorder="1" applyAlignment="1">
      <alignment horizontal="center" vertical="center"/>
    </xf>
    <xf numFmtId="0" fontId="35" fillId="33" borderId="20" xfId="0" applyFont="1" applyFill="1" applyBorder="1" applyAlignment="1">
      <alignment horizontal="center" vertical="center"/>
    </xf>
    <xf numFmtId="0" fontId="35" fillId="33" borderId="21" xfId="0" applyFont="1" applyFill="1" applyBorder="1" applyAlignment="1">
      <alignment horizontal="center" vertical="center"/>
    </xf>
    <xf numFmtId="164" fontId="6" fillId="33" borderId="22" xfId="0" applyNumberFormat="1" applyFont="1" applyFill="1" applyBorder="1" applyAlignment="1">
      <alignment horizontal="center" vertical="center"/>
    </xf>
    <xf numFmtId="164" fontId="6" fillId="33" borderId="24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top"/>
    </xf>
    <xf numFmtId="0" fontId="0" fillId="33" borderId="23" xfId="0" applyFont="1" applyFill="1" applyBorder="1" applyAlignment="1">
      <alignment horizontal="center" vertical="top"/>
    </xf>
    <xf numFmtId="0" fontId="0" fillId="33" borderId="24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 vertical="center"/>
    </xf>
    <xf numFmtId="0" fontId="35" fillId="33" borderId="18" xfId="0" applyFont="1" applyFill="1" applyBorder="1" applyAlignment="1">
      <alignment horizontal="center"/>
    </xf>
    <xf numFmtId="0" fontId="35" fillId="33" borderId="20" xfId="0" applyFont="1" applyFill="1" applyBorder="1" applyAlignment="1">
      <alignment horizontal="center"/>
    </xf>
    <xf numFmtId="0" fontId="35" fillId="33" borderId="21" xfId="0" applyFont="1" applyFill="1" applyBorder="1" applyAlignment="1">
      <alignment horizontal="center"/>
    </xf>
    <xf numFmtId="0" fontId="36" fillId="33" borderId="15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0" fontId="0" fillId="33" borderId="15" xfId="0" applyFill="1" applyBorder="1" applyAlignment="1">
      <alignment horizontal="center" vertical="center" wrapText="1"/>
    </xf>
    <xf numFmtId="165" fontId="35" fillId="33" borderId="18" xfId="0" applyNumberFormat="1" applyFont="1" applyFill="1" applyBorder="1" applyAlignment="1">
      <alignment horizontal="center" vertical="center"/>
    </xf>
    <xf numFmtId="165" fontId="35" fillId="33" borderId="20" xfId="0" applyNumberFormat="1" applyFont="1" applyFill="1" applyBorder="1" applyAlignment="1">
      <alignment horizontal="center" vertical="center"/>
    </xf>
    <xf numFmtId="165" fontId="35" fillId="33" borderId="2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36" fillId="33" borderId="18" xfId="0" applyFont="1" applyFill="1" applyBorder="1" applyAlignment="1">
      <alignment horizontal="right" vertical="center"/>
    </xf>
    <xf numFmtId="0" fontId="36" fillId="33" borderId="21" xfId="0" applyFont="1" applyFill="1" applyBorder="1" applyAlignment="1">
      <alignment horizontal="right" vertical="center"/>
    </xf>
    <xf numFmtId="0" fontId="0" fillId="33" borderId="24" xfId="0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center" vertical="top"/>
    </xf>
    <xf numFmtId="0" fontId="35" fillId="33" borderId="15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right" vertical="center"/>
    </xf>
    <xf numFmtId="165" fontId="35" fillId="33" borderId="15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/>
    </xf>
    <xf numFmtId="0" fontId="35" fillId="33" borderId="22" xfId="0" applyFont="1" applyFill="1" applyBorder="1" applyAlignment="1">
      <alignment horizontal="center" vertical="center" wrapText="1"/>
    </xf>
    <xf numFmtId="0" fontId="35" fillId="33" borderId="24" xfId="0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/>
    </xf>
    <xf numFmtId="1" fontId="6" fillId="33" borderId="18" xfId="0" applyNumberFormat="1" applyFont="1" applyFill="1" applyBorder="1" applyAlignment="1">
      <alignment horizontal="center" vertical="center"/>
    </xf>
    <xf numFmtId="1" fontId="6" fillId="33" borderId="20" xfId="0" applyNumberFormat="1" applyFont="1" applyFill="1" applyBorder="1" applyAlignment="1">
      <alignment horizontal="center" vertical="center"/>
    </xf>
    <xf numFmtId="1" fontId="6" fillId="33" borderId="21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horizontal="center" wrapText="1"/>
    </xf>
    <xf numFmtId="0" fontId="13" fillId="33" borderId="18" xfId="58" applyFont="1" applyFill="1" applyBorder="1" applyAlignment="1">
      <alignment horizontal="center"/>
      <protection/>
    </xf>
    <xf numFmtId="0" fontId="13" fillId="33" borderId="20" xfId="58" applyFont="1" applyFill="1" applyBorder="1" applyAlignment="1">
      <alignment horizontal="center"/>
      <protection/>
    </xf>
    <xf numFmtId="0" fontId="13" fillId="33" borderId="21" xfId="58" applyFont="1" applyFill="1" applyBorder="1" applyAlignment="1">
      <alignment horizontal="center"/>
      <protection/>
    </xf>
    <xf numFmtId="173" fontId="4" fillId="33" borderId="23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6" borderId="22" xfId="0" applyFont="1" applyFill="1" applyBorder="1" applyAlignment="1">
      <alignment horizontal="center" vertical="top"/>
    </xf>
    <xf numFmtId="0" fontId="0" fillId="36" borderId="23" xfId="0" applyFont="1" applyFill="1" applyBorder="1" applyAlignment="1">
      <alignment horizontal="center" vertical="top"/>
    </xf>
    <xf numFmtId="0" fontId="0" fillId="36" borderId="24" xfId="0" applyFont="1" applyFill="1" applyBorder="1" applyAlignment="1">
      <alignment horizontal="center" vertical="top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7" fillId="37" borderId="0" xfId="0" applyFont="1" applyFill="1" applyBorder="1" applyAlignment="1">
      <alignment horizontal="left" vertical="center"/>
    </xf>
    <xf numFmtId="0" fontId="7" fillId="37" borderId="13" xfId="0" applyFont="1" applyFill="1" applyBorder="1" applyAlignment="1">
      <alignment horizontal="left" vertical="center"/>
    </xf>
    <xf numFmtId="0" fontId="0" fillId="36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18" fillId="0" borderId="14" xfId="0" applyFont="1" applyBorder="1" applyAlignment="1">
      <alignment horizontal="right"/>
    </xf>
    <xf numFmtId="0" fontId="18" fillId="0" borderId="17" xfId="0" applyFont="1" applyBorder="1" applyAlignment="1">
      <alignment horizontal="right"/>
    </xf>
    <xf numFmtId="0" fontId="7" fillId="41" borderId="13" xfId="0" applyFont="1" applyFill="1" applyBorder="1" applyAlignment="1">
      <alignment horizontal="left" vertical="center"/>
    </xf>
    <xf numFmtId="0" fontId="36" fillId="0" borderId="15" xfId="0" applyFont="1" applyFill="1" applyBorder="1" applyAlignment="1">
      <alignment horizontal="center" vertical="center"/>
    </xf>
    <xf numFmtId="0" fontId="0" fillId="40" borderId="22" xfId="0" applyFont="1" applyFill="1" applyBorder="1" applyAlignment="1">
      <alignment horizontal="center" vertical="center"/>
    </xf>
    <xf numFmtId="0" fontId="0" fillId="4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nditionalStyle_1" xfId="44"/>
    <cellStyle name="Currency" xfId="45"/>
    <cellStyle name="Currency [0]" xfId="46"/>
    <cellStyle name="Excel Built-in Normal" xfId="47"/>
    <cellStyle name="Excel Built-in Percent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2 4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30"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color theme="0"/>
      </font>
    </dxf>
    <dxf>
      <font>
        <color rgb="FF008000"/>
      </font>
    </dxf>
    <dxf>
      <font>
        <b/>
        <i val="0"/>
        <color rgb="FF0066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color theme="0"/>
      </font>
    </dxf>
    <dxf>
      <font>
        <strike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66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color theme="0"/>
      </font>
    </dxf>
    <dxf>
      <font>
        <strike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color rgb="FF008000"/>
      </font>
    </dxf>
    <dxf>
      <font>
        <color rgb="FF008000"/>
      </font>
    </dxf>
    <dxf>
      <font>
        <color theme="0"/>
      </font>
    </dxf>
    <dxf>
      <font>
        <strike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color indexed="9"/>
      </font>
    </dxf>
    <dxf>
      <font>
        <color indexed="12"/>
      </font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76200</xdr:rowOff>
    </xdr:from>
    <xdr:to>
      <xdr:col>10</xdr:col>
      <xdr:colOff>0</xdr:colOff>
      <xdr:row>13</xdr:row>
      <xdr:rowOff>85725</xdr:rowOff>
    </xdr:to>
    <xdr:grpSp>
      <xdr:nvGrpSpPr>
        <xdr:cNvPr id="1" name="Group 55"/>
        <xdr:cNvGrpSpPr>
          <a:grpSpLocks/>
        </xdr:cNvGrpSpPr>
      </xdr:nvGrpSpPr>
      <xdr:grpSpPr>
        <a:xfrm>
          <a:off x="5705475" y="762000"/>
          <a:ext cx="2047875" cy="1771650"/>
          <a:chOff x="484" y="131"/>
          <a:chExt cx="233" cy="189"/>
        </a:xfrm>
        <a:solidFill>
          <a:srgbClr val="FFFFFF"/>
        </a:solidFill>
      </xdr:grpSpPr>
      <xdr:grpSp>
        <xdr:nvGrpSpPr>
          <xdr:cNvPr id="2" name="Group 54"/>
          <xdr:cNvGrpSpPr>
            <a:grpSpLocks/>
          </xdr:cNvGrpSpPr>
        </xdr:nvGrpSpPr>
        <xdr:grpSpPr>
          <a:xfrm>
            <a:off x="484" y="143"/>
            <a:ext cx="233" cy="177"/>
            <a:chOff x="484" y="143"/>
            <a:chExt cx="233" cy="177"/>
          </a:xfrm>
          <a:solidFill>
            <a:srgbClr val="FFFFFF"/>
          </a:solidFill>
        </xdr:grpSpPr>
        <xdr:sp>
          <xdr:nvSpPr>
            <xdr:cNvPr id="3" name="Line 47"/>
            <xdr:cNvSpPr>
              <a:spLocks/>
            </xdr:cNvSpPr>
          </xdr:nvSpPr>
          <xdr:spPr>
            <a:xfrm>
              <a:off x="528" y="143"/>
              <a:ext cx="16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6"/>
            <xdr:cNvSpPr>
              <a:spLocks/>
            </xdr:cNvSpPr>
          </xdr:nvSpPr>
          <xdr:spPr>
            <a:xfrm>
              <a:off x="511" y="152"/>
              <a:ext cx="0" cy="2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>
              <a:off x="703" y="153"/>
              <a:ext cx="0" cy="12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6" name="Group 45"/>
            <xdr:cNvGrpSpPr>
              <a:grpSpLocks/>
            </xdr:cNvGrpSpPr>
          </xdr:nvGrpSpPr>
          <xdr:grpSpPr>
            <a:xfrm>
              <a:off x="528" y="153"/>
              <a:ext cx="160" cy="131"/>
              <a:chOff x="529" y="131"/>
              <a:chExt cx="206" cy="145"/>
            </a:xfrm>
            <a:solidFill>
              <a:srgbClr val="FFFFFF"/>
            </a:solidFill>
          </xdr:grpSpPr>
          <xdr:sp>
            <xdr:nvSpPr>
              <xdr:cNvPr id="7" name="Rectangle 42"/>
              <xdr:cNvSpPr>
                <a:spLocks/>
              </xdr:cNvSpPr>
            </xdr:nvSpPr>
            <xdr:spPr>
              <a:xfrm>
                <a:off x="529" y="131"/>
                <a:ext cx="206" cy="2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Rectangle 43"/>
              <xdr:cNvSpPr>
                <a:spLocks/>
              </xdr:cNvSpPr>
            </xdr:nvSpPr>
            <xdr:spPr>
              <a:xfrm>
                <a:off x="609" y="159"/>
                <a:ext cx="44" cy="117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9" name="Text Box 51"/>
            <xdr:cNvSpPr txBox="1">
              <a:spLocks noChangeArrowheads="1"/>
            </xdr:cNvSpPr>
          </xdr:nvSpPr>
          <xdr:spPr>
            <a:xfrm>
              <a:off x="597" y="298"/>
              <a:ext cx="24" cy="2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b</a:t>
              </a:r>
              <a:r>
                <a:rPr lang="en-US" cap="none" sz="1000" b="0" i="0" u="none" baseline="-2500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w</a:t>
              </a:r>
            </a:p>
          </xdr:txBody>
        </xdr:sp>
        <xdr:sp>
          <xdr:nvSpPr>
            <xdr:cNvPr id="10" name="Text Box 52"/>
            <xdr:cNvSpPr txBox="1">
              <a:spLocks noChangeArrowheads="1"/>
            </xdr:cNvSpPr>
          </xdr:nvSpPr>
          <xdr:spPr>
            <a:xfrm>
              <a:off x="484" y="155"/>
              <a:ext cx="24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</a:t>
              </a:r>
              <a:r>
                <a:rPr lang="en-US" cap="none" sz="1000" b="0" i="0" u="none" baseline="-2500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f</a:t>
              </a:r>
            </a:p>
          </xdr:txBody>
        </xdr:sp>
        <xdr:sp>
          <xdr:nvSpPr>
            <xdr:cNvPr id="11" name="Text Box 53"/>
            <xdr:cNvSpPr txBox="1">
              <a:spLocks noChangeArrowheads="1"/>
            </xdr:cNvSpPr>
          </xdr:nvSpPr>
          <xdr:spPr>
            <a:xfrm>
              <a:off x="693" y="205"/>
              <a:ext cx="24" cy="2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</a:t>
              </a:r>
            </a:p>
          </xdr:txBody>
        </xdr:sp>
        <xdr:sp>
          <xdr:nvSpPr>
            <xdr:cNvPr id="12" name="Line 48"/>
            <xdr:cNvSpPr>
              <a:spLocks/>
            </xdr:cNvSpPr>
          </xdr:nvSpPr>
          <xdr:spPr>
            <a:xfrm>
              <a:off x="590" y="297"/>
              <a:ext cx="3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" name="Text Box 50"/>
          <xdr:cNvSpPr txBox="1">
            <a:spLocks noChangeArrowheads="1"/>
          </xdr:cNvSpPr>
        </xdr:nvSpPr>
        <xdr:spPr>
          <a:xfrm>
            <a:off x="595" y="131"/>
            <a:ext cx="2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</a:t>
            </a:r>
            <a:r>
              <a:rPr lang="en-US" cap="none" sz="10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f</a:t>
            </a:r>
          </a:p>
        </xdr:txBody>
      </xdr:sp>
    </xdr:grpSp>
    <xdr:clientData/>
  </xdr:twoCellAnchor>
  <xdr:twoCellAnchor>
    <xdr:from>
      <xdr:col>11</xdr:col>
      <xdr:colOff>76200</xdr:colOff>
      <xdr:row>22</xdr:row>
      <xdr:rowOff>0</xdr:rowOff>
    </xdr:from>
    <xdr:to>
      <xdr:col>11</xdr:col>
      <xdr:colOff>76200</xdr:colOff>
      <xdr:row>22</xdr:row>
      <xdr:rowOff>0</xdr:rowOff>
    </xdr:to>
    <xdr:sp>
      <xdr:nvSpPr>
        <xdr:cNvPr id="14" name="Line 103"/>
        <xdr:cNvSpPr>
          <a:spLocks/>
        </xdr:cNvSpPr>
      </xdr:nvSpPr>
      <xdr:spPr>
        <a:xfrm>
          <a:off x="804862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14</xdr:row>
      <xdr:rowOff>19050</xdr:rowOff>
    </xdr:from>
    <xdr:to>
      <xdr:col>10</xdr:col>
      <xdr:colOff>0</xdr:colOff>
      <xdr:row>29</xdr:row>
      <xdr:rowOff>190500</xdr:rowOff>
    </xdr:to>
    <xdr:grpSp>
      <xdr:nvGrpSpPr>
        <xdr:cNvPr id="15" name="Group 110"/>
        <xdr:cNvGrpSpPr>
          <a:grpSpLocks/>
        </xdr:cNvGrpSpPr>
      </xdr:nvGrpSpPr>
      <xdr:grpSpPr>
        <a:xfrm>
          <a:off x="5324475" y="2667000"/>
          <a:ext cx="2428875" cy="2828925"/>
          <a:chOff x="517" y="242"/>
          <a:chExt cx="246" cy="297"/>
        </a:xfrm>
        <a:solidFill>
          <a:srgbClr val="FFFFFF"/>
        </a:solidFill>
      </xdr:grpSpPr>
      <xdr:sp>
        <xdr:nvSpPr>
          <xdr:cNvPr id="16" name="Line 101"/>
          <xdr:cNvSpPr>
            <a:spLocks/>
          </xdr:cNvSpPr>
        </xdr:nvSpPr>
        <xdr:spPr>
          <a:xfrm>
            <a:off x="689" y="256"/>
            <a:ext cx="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 Box 104"/>
          <xdr:cNvSpPr txBox="1">
            <a:spLocks noChangeArrowheads="1"/>
          </xdr:cNvSpPr>
        </xdr:nvSpPr>
        <xdr:spPr>
          <a:xfrm>
            <a:off x="701" y="242"/>
            <a:ext cx="21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  <a:r>
              <a:rPr lang="en-US" cap="none" sz="10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grpSp>
        <xdr:nvGrpSpPr>
          <xdr:cNvPr id="18" name="Group 109"/>
          <xdr:cNvGrpSpPr>
            <a:grpSpLocks/>
          </xdr:cNvGrpSpPr>
        </xdr:nvGrpSpPr>
        <xdr:grpSpPr>
          <a:xfrm>
            <a:off x="517" y="260"/>
            <a:ext cx="246" cy="279"/>
            <a:chOff x="510" y="255"/>
            <a:chExt cx="246" cy="279"/>
          </a:xfrm>
          <a:solidFill>
            <a:srgbClr val="FFFFFF"/>
          </a:solidFill>
        </xdr:grpSpPr>
        <xdr:sp>
          <xdr:nvSpPr>
            <xdr:cNvPr id="19" name="Line 89"/>
            <xdr:cNvSpPr>
              <a:spLocks/>
            </xdr:cNvSpPr>
          </xdr:nvSpPr>
          <xdr:spPr>
            <a:xfrm>
              <a:off x="743" y="383"/>
              <a:ext cx="1" cy="6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Text Box 98"/>
            <xdr:cNvSpPr txBox="1">
              <a:spLocks noChangeArrowheads="1"/>
            </xdr:cNvSpPr>
          </xdr:nvSpPr>
          <xdr:spPr>
            <a:xfrm>
              <a:off x="735" y="403"/>
              <a:ext cx="21" cy="1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b</a:t>
              </a:r>
              <a:r>
                <a:rPr lang="en-US" cap="none" sz="1000" b="0" i="0" u="none" baseline="-2500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1</a:t>
              </a:r>
            </a:p>
          </xdr:txBody>
        </xdr:sp>
        <xdr:grpSp>
          <xdr:nvGrpSpPr>
            <xdr:cNvPr id="21" name="Group 85"/>
            <xdr:cNvGrpSpPr>
              <a:grpSpLocks/>
            </xdr:cNvGrpSpPr>
          </xdr:nvGrpSpPr>
          <xdr:grpSpPr>
            <a:xfrm>
              <a:off x="538" y="257"/>
              <a:ext cx="195" cy="249"/>
              <a:chOff x="498" y="252"/>
              <a:chExt cx="251" cy="307"/>
            </a:xfrm>
            <a:solidFill>
              <a:srgbClr val="FFFFFF"/>
            </a:solidFill>
          </xdr:grpSpPr>
          <xdr:sp>
            <xdr:nvSpPr>
              <xdr:cNvPr id="22" name="Rectangle 56"/>
              <xdr:cNvSpPr>
                <a:spLocks/>
              </xdr:cNvSpPr>
            </xdr:nvSpPr>
            <xdr:spPr>
              <a:xfrm>
                <a:off x="498" y="252"/>
                <a:ext cx="251" cy="307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" name="Rectangle 64"/>
              <xdr:cNvSpPr>
                <a:spLocks/>
              </xdr:cNvSpPr>
            </xdr:nvSpPr>
            <xdr:spPr>
              <a:xfrm>
                <a:off x="569" y="486"/>
                <a:ext cx="49" cy="6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" name="Rectangle 70"/>
              <xdr:cNvSpPr>
                <a:spLocks/>
              </xdr:cNvSpPr>
            </xdr:nvSpPr>
            <xdr:spPr>
              <a:xfrm>
                <a:off x="569" y="411"/>
                <a:ext cx="49" cy="6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" name="Rectangle 71"/>
              <xdr:cNvSpPr>
                <a:spLocks/>
              </xdr:cNvSpPr>
            </xdr:nvSpPr>
            <xdr:spPr>
              <a:xfrm>
                <a:off x="569" y="338"/>
                <a:ext cx="49" cy="6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" name="Rectangle 72"/>
              <xdr:cNvSpPr>
                <a:spLocks/>
              </xdr:cNvSpPr>
            </xdr:nvSpPr>
            <xdr:spPr>
              <a:xfrm>
                <a:off x="569" y="263"/>
                <a:ext cx="49" cy="6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" name="Rectangle 73"/>
              <xdr:cNvSpPr>
                <a:spLocks/>
              </xdr:cNvSpPr>
            </xdr:nvSpPr>
            <xdr:spPr>
              <a:xfrm>
                <a:off x="509" y="486"/>
                <a:ext cx="49" cy="6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" name="Rectangle 74"/>
              <xdr:cNvSpPr>
                <a:spLocks/>
              </xdr:cNvSpPr>
            </xdr:nvSpPr>
            <xdr:spPr>
              <a:xfrm>
                <a:off x="509" y="411"/>
                <a:ext cx="49" cy="6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" name="Rectangle 75"/>
              <xdr:cNvSpPr>
                <a:spLocks/>
              </xdr:cNvSpPr>
            </xdr:nvSpPr>
            <xdr:spPr>
              <a:xfrm>
                <a:off x="509" y="338"/>
                <a:ext cx="49" cy="6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" name="Rectangle 76"/>
              <xdr:cNvSpPr>
                <a:spLocks/>
              </xdr:cNvSpPr>
            </xdr:nvSpPr>
            <xdr:spPr>
              <a:xfrm>
                <a:off x="509" y="263"/>
                <a:ext cx="49" cy="6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" name="Rectangle 77"/>
              <xdr:cNvSpPr>
                <a:spLocks/>
              </xdr:cNvSpPr>
            </xdr:nvSpPr>
            <xdr:spPr>
              <a:xfrm>
                <a:off x="689" y="487"/>
                <a:ext cx="49" cy="6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2" name="Rectangle 78"/>
              <xdr:cNvSpPr>
                <a:spLocks/>
              </xdr:cNvSpPr>
            </xdr:nvSpPr>
            <xdr:spPr>
              <a:xfrm>
                <a:off x="689" y="412"/>
                <a:ext cx="49" cy="6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" name="Rectangle 79"/>
              <xdr:cNvSpPr>
                <a:spLocks/>
              </xdr:cNvSpPr>
            </xdr:nvSpPr>
            <xdr:spPr>
              <a:xfrm>
                <a:off x="689" y="339"/>
                <a:ext cx="49" cy="6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" name="Rectangle 80"/>
              <xdr:cNvSpPr>
                <a:spLocks/>
              </xdr:cNvSpPr>
            </xdr:nvSpPr>
            <xdr:spPr>
              <a:xfrm>
                <a:off x="689" y="264"/>
                <a:ext cx="49" cy="6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" name="Rectangle 81"/>
              <xdr:cNvSpPr>
                <a:spLocks/>
              </xdr:cNvSpPr>
            </xdr:nvSpPr>
            <xdr:spPr>
              <a:xfrm>
                <a:off x="629" y="487"/>
                <a:ext cx="49" cy="6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" name="Rectangle 82"/>
              <xdr:cNvSpPr>
                <a:spLocks/>
              </xdr:cNvSpPr>
            </xdr:nvSpPr>
            <xdr:spPr>
              <a:xfrm>
                <a:off x="629" y="412"/>
                <a:ext cx="49" cy="6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" name="Rectangle 83"/>
              <xdr:cNvSpPr>
                <a:spLocks/>
              </xdr:cNvSpPr>
            </xdr:nvSpPr>
            <xdr:spPr>
              <a:xfrm>
                <a:off x="629" y="339"/>
                <a:ext cx="49" cy="6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" name="Rectangle 84"/>
              <xdr:cNvSpPr>
                <a:spLocks/>
              </xdr:cNvSpPr>
            </xdr:nvSpPr>
            <xdr:spPr>
              <a:xfrm>
                <a:off x="629" y="264"/>
                <a:ext cx="49" cy="6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9" name="Line 86"/>
            <xdr:cNvSpPr>
              <a:spLocks/>
            </xdr:cNvSpPr>
          </xdr:nvSpPr>
          <xdr:spPr>
            <a:xfrm>
              <a:off x="520" y="255"/>
              <a:ext cx="1" cy="2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87"/>
            <xdr:cNvSpPr>
              <a:spLocks/>
            </xdr:cNvSpPr>
          </xdr:nvSpPr>
          <xdr:spPr>
            <a:xfrm>
              <a:off x="538" y="526"/>
              <a:ext cx="200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Text Box 105"/>
            <xdr:cNvSpPr txBox="1">
              <a:spLocks noChangeArrowheads="1"/>
            </xdr:cNvSpPr>
          </xdr:nvSpPr>
          <xdr:spPr>
            <a:xfrm>
              <a:off x="510" y="377"/>
              <a:ext cx="21" cy="1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Ly</a:t>
              </a:r>
            </a:p>
          </xdr:txBody>
        </xdr:sp>
        <xdr:sp>
          <xdr:nvSpPr>
            <xdr:cNvPr id="42" name="Text Box 106"/>
            <xdr:cNvSpPr txBox="1">
              <a:spLocks noChangeArrowheads="1"/>
            </xdr:cNvSpPr>
          </xdr:nvSpPr>
          <xdr:spPr>
            <a:xfrm>
              <a:off x="623" y="515"/>
              <a:ext cx="20" cy="1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Lx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26</xdr:row>
      <xdr:rowOff>0</xdr:rowOff>
    </xdr:from>
    <xdr:to>
      <xdr:col>5</xdr:col>
      <xdr:colOff>257175</xdr:colOff>
      <xdr:row>28</xdr:row>
      <xdr:rowOff>9525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4324350"/>
          <a:ext cx="3609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47</xdr:row>
      <xdr:rowOff>9525</xdr:rowOff>
    </xdr:from>
    <xdr:to>
      <xdr:col>3</xdr:col>
      <xdr:colOff>9525</xdr:colOff>
      <xdr:row>47</xdr:row>
      <xdr:rowOff>9525</xdr:rowOff>
    </xdr:to>
    <xdr:sp>
      <xdr:nvSpPr>
        <xdr:cNvPr id="1" name="Line 5"/>
        <xdr:cNvSpPr>
          <a:spLocks/>
        </xdr:cNvSpPr>
      </xdr:nvSpPr>
      <xdr:spPr>
        <a:xfrm>
          <a:off x="1057275" y="76581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47</xdr:row>
      <xdr:rowOff>133350</xdr:rowOff>
    </xdr:from>
    <xdr:to>
      <xdr:col>7</xdr:col>
      <xdr:colOff>171450</xdr:colOff>
      <xdr:row>54</xdr:row>
      <xdr:rowOff>123825</xdr:rowOff>
    </xdr:to>
    <xdr:sp>
      <xdr:nvSpPr>
        <xdr:cNvPr id="2" name="Rectangle 1"/>
        <xdr:cNvSpPr>
          <a:spLocks/>
        </xdr:cNvSpPr>
      </xdr:nvSpPr>
      <xdr:spPr>
        <a:xfrm>
          <a:off x="1057275" y="7781925"/>
          <a:ext cx="52578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1247775</xdr:colOff>
      <xdr:row>50</xdr:row>
      <xdr:rowOff>95250</xdr:rowOff>
    </xdr:from>
    <xdr:to>
      <xdr:col>3</xdr:col>
      <xdr:colOff>371475</xdr:colOff>
      <xdr:row>53</xdr:row>
      <xdr:rowOff>0</xdr:rowOff>
    </xdr:to>
    <xdr:sp>
      <xdr:nvSpPr>
        <xdr:cNvPr id="3" name="Rectangle 2"/>
        <xdr:cNvSpPr>
          <a:spLocks/>
        </xdr:cNvSpPr>
      </xdr:nvSpPr>
      <xdr:spPr>
        <a:xfrm>
          <a:off x="2295525" y="8229600"/>
          <a:ext cx="6191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47</xdr:row>
      <xdr:rowOff>9525</xdr:rowOff>
    </xdr:from>
    <xdr:to>
      <xdr:col>5</xdr:col>
      <xdr:colOff>333375</xdr:colOff>
      <xdr:row>47</xdr:row>
      <xdr:rowOff>9525</xdr:rowOff>
    </xdr:to>
    <xdr:sp>
      <xdr:nvSpPr>
        <xdr:cNvPr id="4" name="Line 6"/>
        <xdr:cNvSpPr>
          <a:spLocks/>
        </xdr:cNvSpPr>
      </xdr:nvSpPr>
      <xdr:spPr>
        <a:xfrm>
          <a:off x="2571750" y="765810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50</xdr:row>
      <xdr:rowOff>85725</xdr:rowOff>
    </xdr:from>
    <xdr:to>
      <xdr:col>5</xdr:col>
      <xdr:colOff>647700</xdr:colOff>
      <xdr:row>52</xdr:row>
      <xdr:rowOff>152400</xdr:rowOff>
    </xdr:to>
    <xdr:sp>
      <xdr:nvSpPr>
        <xdr:cNvPr id="5" name="Rectangle 3"/>
        <xdr:cNvSpPr>
          <a:spLocks/>
        </xdr:cNvSpPr>
      </xdr:nvSpPr>
      <xdr:spPr>
        <a:xfrm>
          <a:off x="4476750" y="8220075"/>
          <a:ext cx="6000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47</xdr:row>
      <xdr:rowOff>9525</xdr:rowOff>
    </xdr:from>
    <xdr:to>
      <xdr:col>7</xdr:col>
      <xdr:colOff>161925</xdr:colOff>
      <xdr:row>47</xdr:row>
      <xdr:rowOff>9525</xdr:rowOff>
    </xdr:to>
    <xdr:sp>
      <xdr:nvSpPr>
        <xdr:cNvPr id="6" name="Line 7"/>
        <xdr:cNvSpPr>
          <a:spLocks/>
        </xdr:cNvSpPr>
      </xdr:nvSpPr>
      <xdr:spPr>
        <a:xfrm>
          <a:off x="4752975" y="76581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57</xdr:row>
      <xdr:rowOff>9525</xdr:rowOff>
    </xdr:from>
    <xdr:to>
      <xdr:col>7</xdr:col>
      <xdr:colOff>152400</xdr:colOff>
      <xdr:row>57</xdr:row>
      <xdr:rowOff>9525</xdr:rowOff>
    </xdr:to>
    <xdr:sp>
      <xdr:nvSpPr>
        <xdr:cNvPr id="7" name="Line 9"/>
        <xdr:cNvSpPr>
          <a:spLocks/>
        </xdr:cNvSpPr>
      </xdr:nvSpPr>
      <xdr:spPr>
        <a:xfrm>
          <a:off x="1038225" y="9277350"/>
          <a:ext cx="5257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47</xdr:row>
      <xdr:rowOff>133350</xdr:rowOff>
    </xdr:from>
    <xdr:to>
      <xdr:col>7</xdr:col>
      <xdr:colOff>247650</xdr:colOff>
      <xdr:row>54</xdr:row>
      <xdr:rowOff>123825</xdr:rowOff>
    </xdr:to>
    <xdr:sp>
      <xdr:nvSpPr>
        <xdr:cNvPr id="8" name="Line 11"/>
        <xdr:cNvSpPr>
          <a:spLocks/>
        </xdr:cNvSpPr>
      </xdr:nvSpPr>
      <xdr:spPr>
        <a:xfrm>
          <a:off x="6391275" y="7781925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63</xdr:row>
      <xdr:rowOff>66675</xdr:rowOff>
    </xdr:from>
    <xdr:to>
      <xdr:col>7</xdr:col>
      <xdr:colOff>209550</xdr:colOff>
      <xdr:row>63</xdr:row>
      <xdr:rowOff>66675</xdr:rowOff>
    </xdr:to>
    <xdr:sp>
      <xdr:nvSpPr>
        <xdr:cNvPr id="9" name="Line 12"/>
        <xdr:cNvSpPr>
          <a:spLocks/>
        </xdr:cNvSpPr>
      </xdr:nvSpPr>
      <xdr:spPr>
        <a:xfrm>
          <a:off x="1057275" y="10306050"/>
          <a:ext cx="529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62</xdr:row>
      <xdr:rowOff>0</xdr:rowOff>
    </xdr:from>
    <xdr:to>
      <xdr:col>2</xdr:col>
      <xdr:colOff>9525</xdr:colOff>
      <xdr:row>63</xdr:row>
      <xdr:rowOff>57150</xdr:rowOff>
    </xdr:to>
    <xdr:sp>
      <xdr:nvSpPr>
        <xdr:cNvPr id="10" name="Line 15"/>
        <xdr:cNvSpPr>
          <a:spLocks/>
        </xdr:cNvSpPr>
      </xdr:nvSpPr>
      <xdr:spPr>
        <a:xfrm>
          <a:off x="1057275" y="10077450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62</xdr:row>
      <xdr:rowOff>19050</xdr:rowOff>
    </xdr:from>
    <xdr:to>
      <xdr:col>6</xdr:col>
      <xdr:colOff>552450</xdr:colOff>
      <xdr:row>63</xdr:row>
      <xdr:rowOff>76200</xdr:rowOff>
    </xdr:to>
    <xdr:sp>
      <xdr:nvSpPr>
        <xdr:cNvPr id="11" name="Line 16"/>
        <xdr:cNvSpPr>
          <a:spLocks/>
        </xdr:cNvSpPr>
      </xdr:nvSpPr>
      <xdr:spPr>
        <a:xfrm>
          <a:off x="5781675" y="10096500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62</xdr:row>
      <xdr:rowOff>9525</xdr:rowOff>
    </xdr:from>
    <xdr:to>
      <xdr:col>2</xdr:col>
      <xdr:colOff>333375</xdr:colOff>
      <xdr:row>63</xdr:row>
      <xdr:rowOff>66675</xdr:rowOff>
    </xdr:to>
    <xdr:sp>
      <xdr:nvSpPr>
        <xdr:cNvPr id="12" name="Line 17"/>
        <xdr:cNvSpPr>
          <a:spLocks/>
        </xdr:cNvSpPr>
      </xdr:nvSpPr>
      <xdr:spPr>
        <a:xfrm>
          <a:off x="1381125" y="10086975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62</xdr:row>
      <xdr:rowOff>0</xdr:rowOff>
    </xdr:from>
    <xdr:to>
      <xdr:col>3</xdr:col>
      <xdr:colOff>733425</xdr:colOff>
      <xdr:row>63</xdr:row>
      <xdr:rowOff>57150</xdr:rowOff>
    </xdr:to>
    <xdr:sp>
      <xdr:nvSpPr>
        <xdr:cNvPr id="13" name="Line 18"/>
        <xdr:cNvSpPr>
          <a:spLocks/>
        </xdr:cNvSpPr>
      </xdr:nvSpPr>
      <xdr:spPr>
        <a:xfrm>
          <a:off x="3276600" y="10077450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9525</xdr:rowOff>
    </xdr:from>
    <xdr:to>
      <xdr:col>3</xdr:col>
      <xdr:colOff>0</xdr:colOff>
      <xdr:row>63</xdr:row>
      <xdr:rowOff>66675</xdr:rowOff>
    </xdr:to>
    <xdr:sp>
      <xdr:nvSpPr>
        <xdr:cNvPr id="14" name="Line 19"/>
        <xdr:cNvSpPr>
          <a:spLocks/>
        </xdr:cNvSpPr>
      </xdr:nvSpPr>
      <xdr:spPr>
        <a:xfrm>
          <a:off x="2543175" y="10086975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62</xdr:row>
      <xdr:rowOff>9525</xdr:rowOff>
    </xdr:from>
    <xdr:to>
      <xdr:col>5</xdr:col>
      <xdr:colOff>66675</xdr:colOff>
      <xdr:row>63</xdr:row>
      <xdr:rowOff>66675</xdr:rowOff>
    </xdr:to>
    <xdr:sp>
      <xdr:nvSpPr>
        <xdr:cNvPr id="15" name="Line 20"/>
        <xdr:cNvSpPr>
          <a:spLocks/>
        </xdr:cNvSpPr>
      </xdr:nvSpPr>
      <xdr:spPr>
        <a:xfrm>
          <a:off x="4495800" y="10086975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62</xdr:row>
      <xdr:rowOff>9525</xdr:rowOff>
    </xdr:from>
    <xdr:to>
      <xdr:col>5</xdr:col>
      <xdr:colOff>495300</xdr:colOff>
      <xdr:row>63</xdr:row>
      <xdr:rowOff>66675</xdr:rowOff>
    </xdr:to>
    <xdr:sp>
      <xdr:nvSpPr>
        <xdr:cNvPr id="16" name="Line 21"/>
        <xdr:cNvSpPr>
          <a:spLocks/>
        </xdr:cNvSpPr>
      </xdr:nvSpPr>
      <xdr:spPr>
        <a:xfrm>
          <a:off x="4924425" y="10086975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62</xdr:row>
      <xdr:rowOff>9525</xdr:rowOff>
    </xdr:from>
    <xdr:to>
      <xdr:col>6</xdr:col>
      <xdr:colOff>200025</xdr:colOff>
      <xdr:row>63</xdr:row>
      <xdr:rowOff>66675</xdr:rowOff>
    </xdr:to>
    <xdr:sp>
      <xdr:nvSpPr>
        <xdr:cNvPr id="17" name="Line 22"/>
        <xdr:cNvSpPr>
          <a:spLocks/>
        </xdr:cNvSpPr>
      </xdr:nvSpPr>
      <xdr:spPr>
        <a:xfrm>
          <a:off x="5429250" y="10086975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62</xdr:row>
      <xdr:rowOff>19050</xdr:rowOff>
    </xdr:from>
    <xdr:to>
      <xdr:col>6</xdr:col>
      <xdr:colOff>838200</xdr:colOff>
      <xdr:row>63</xdr:row>
      <xdr:rowOff>76200</xdr:rowOff>
    </xdr:to>
    <xdr:sp>
      <xdr:nvSpPr>
        <xdr:cNvPr id="18" name="Line 23"/>
        <xdr:cNvSpPr>
          <a:spLocks/>
        </xdr:cNvSpPr>
      </xdr:nvSpPr>
      <xdr:spPr>
        <a:xfrm>
          <a:off x="6067425" y="10096500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62</xdr:row>
      <xdr:rowOff>9525</xdr:rowOff>
    </xdr:from>
    <xdr:to>
      <xdr:col>7</xdr:col>
      <xdr:colOff>190500</xdr:colOff>
      <xdr:row>63</xdr:row>
      <xdr:rowOff>66675</xdr:rowOff>
    </xdr:to>
    <xdr:sp>
      <xdr:nvSpPr>
        <xdr:cNvPr id="19" name="Line 24"/>
        <xdr:cNvSpPr>
          <a:spLocks/>
        </xdr:cNvSpPr>
      </xdr:nvSpPr>
      <xdr:spPr>
        <a:xfrm>
          <a:off x="6334125" y="10086975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62</xdr:row>
      <xdr:rowOff>9525</xdr:rowOff>
    </xdr:from>
    <xdr:to>
      <xdr:col>2</xdr:col>
      <xdr:colOff>581025</xdr:colOff>
      <xdr:row>63</xdr:row>
      <xdr:rowOff>66675</xdr:rowOff>
    </xdr:to>
    <xdr:sp>
      <xdr:nvSpPr>
        <xdr:cNvPr id="20" name="Line 25"/>
        <xdr:cNvSpPr>
          <a:spLocks/>
        </xdr:cNvSpPr>
      </xdr:nvSpPr>
      <xdr:spPr>
        <a:xfrm>
          <a:off x="1628775" y="10086975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62</xdr:row>
      <xdr:rowOff>9525</xdr:rowOff>
    </xdr:from>
    <xdr:to>
      <xdr:col>4</xdr:col>
      <xdr:colOff>228600</xdr:colOff>
      <xdr:row>63</xdr:row>
      <xdr:rowOff>66675</xdr:rowOff>
    </xdr:to>
    <xdr:sp>
      <xdr:nvSpPr>
        <xdr:cNvPr id="21" name="Line 26"/>
        <xdr:cNvSpPr>
          <a:spLocks/>
        </xdr:cNvSpPr>
      </xdr:nvSpPr>
      <xdr:spPr>
        <a:xfrm>
          <a:off x="3752850" y="10086975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62</xdr:row>
      <xdr:rowOff>9525</xdr:rowOff>
    </xdr:from>
    <xdr:to>
      <xdr:col>3</xdr:col>
      <xdr:colOff>295275</xdr:colOff>
      <xdr:row>63</xdr:row>
      <xdr:rowOff>66675</xdr:rowOff>
    </xdr:to>
    <xdr:sp>
      <xdr:nvSpPr>
        <xdr:cNvPr id="22" name="Line 27"/>
        <xdr:cNvSpPr>
          <a:spLocks/>
        </xdr:cNvSpPr>
      </xdr:nvSpPr>
      <xdr:spPr>
        <a:xfrm>
          <a:off x="2838450" y="10086975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66</xdr:row>
      <xdr:rowOff>19050</xdr:rowOff>
    </xdr:from>
    <xdr:to>
      <xdr:col>5</xdr:col>
      <xdr:colOff>352425</xdr:colOff>
      <xdr:row>66</xdr:row>
      <xdr:rowOff>19050</xdr:rowOff>
    </xdr:to>
    <xdr:sp>
      <xdr:nvSpPr>
        <xdr:cNvPr id="23" name="Line 29"/>
        <xdr:cNvSpPr>
          <a:spLocks/>
        </xdr:cNvSpPr>
      </xdr:nvSpPr>
      <xdr:spPr>
        <a:xfrm>
          <a:off x="2590800" y="1074420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66</xdr:row>
      <xdr:rowOff>19050</xdr:rowOff>
    </xdr:from>
    <xdr:to>
      <xdr:col>7</xdr:col>
      <xdr:colOff>238125</xdr:colOff>
      <xdr:row>66</xdr:row>
      <xdr:rowOff>19050</xdr:rowOff>
    </xdr:to>
    <xdr:sp>
      <xdr:nvSpPr>
        <xdr:cNvPr id="24" name="Line 30"/>
        <xdr:cNvSpPr>
          <a:spLocks/>
        </xdr:cNvSpPr>
      </xdr:nvSpPr>
      <xdr:spPr>
        <a:xfrm>
          <a:off x="4829175" y="107442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66</xdr:row>
      <xdr:rowOff>19050</xdr:rowOff>
    </xdr:from>
    <xdr:to>
      <xdr:col>3</xdr:col>
      <xdr:colOff>19050</xdr:colOff>
      <xdr:row>66</xdr:row>
      <xdr:rowOff>19050</xdr:rowOff>
    </xdr:to>
    <xdr:sp>
      <xdr:nvSpPr>
        <xdr:cNvPr id="25" name="Line 31"/>
        <xdr:cNvSpPr>
          <a:spLocks/>
        </xdr:cNvSpPr>
      </xdr:nvSpPr>
      <xdr:spPr>
        <a:xfrm>
          <a:off x="1066800" y="107442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63</xdr:row>
      <xdr:rowOff>85725</xdr:rowOff>
    </xdr:from>
    <xdr:to>
      <xdr:col>3</xdr:col>
      <xdr:colOff>38100</xdr:colOff>
      <xdr:row>66</xdr:row>
      <xdr:rowOff>76200</xdr:rowOff>
    </xdr:to>
    <xdr:sp>
      <xdr:nvSpPr>
        <xdr:cNvPr id="26" name="Line 32"/>
        <xdr:cNvSpPr>
          <a:spLocks/>
        </xdr:cNvSpPr>
      </xdr:nvSpPr>
      <xdr:spPr>
        <a:xfrm flipV="1">
          <a:off x="2581275" y="10325100"/>
          <a:ext cx="0" cy="476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63</xdr:row>
      <xdr:rowOff>104775</xdr:rowOff>
    </xdr:from>
    <xdr:to>
      <xdr:col>5</xdr:col>
      <xdr:colOff>381000</xdr:colOff>
      <xdr:row>66</xdr:row>
      <xdr:rowOff>95250</xdr:rowOff>
    </xdr:to>
    <xdr:sp>
      <xdr:nvSpPr>
        <xdr:cNvPr id="27" name="Line 34"/>
        <xdr:cNvSpPr>
          <a:spLocks/>
        </xdr:cNvSpPr>
      </xdr:nvSpPr>
      <xdr:spPr>
        <a:xfrm flipV="1">
          <a:off x="4810125" y="10344150"/>
          <a:ext cx="0" cy="476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62</xdr:row>
      <xdr:rowOff>0</xdr:rowOff>
    </xdr:from>
    <xdr:to>
      <xdr:col>7</xdr:col>
      <xdr:colOff>171450</xdr:colOff>
      <xdr:row>62</xdr:row>
      <xdr:rowOff>0</xdr:rowOff>
    </xdr:to>
    <xdr:sp>
      <xdr:nvSpPr>
        <xdr:cNvPr id="28" name="Line 36"/>
        <xdr:cNvSpPr>
          <a:spLocks/>
        </xdr:cNvSpPr>
      </xdr:nvSpPr>
      <xdr:spPr>
        <a:xfrm>
          <a:off x="1085850" y="10077450"/>
          <a:ext cx="522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933450</xdr:colOff>
      <xdr:row>62</xdr:row>
      <xdr:rowOff>19050</xdr:rowOff>
    </xdr:from>
    <xdr:to>
      <xdr:col>2</xdr:col>
      <xdr:colOff>933450</xdr:colOff>
      <xdr:row>63</xdr:row>
      <xdr:rowOff>76200</xdr:rowOff>
    </xdr:to>
    <xdr:sp>
      <xdr:nvSpPr>
        <xdr:cNvPr id="29" name="Line 19"/>
        <xdr:cNvSpPr>
          <a:spLocks/>
        </xdr:cNvSpPr>
      </xdr:nvSpPr>
      <xdr:spPr>
        <a:xfrm>
          <a:off x="1981200" y="10096500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62</xdr:row>
      <xdr:rowOff>19050</xdr:rowOff>
    </xdr:from>
    <xdr:to>
      <xdr:col>4</xdr:col>
      <xdr:colOff>542925</xdr:colOff>
      <xdr:row>63</xdr:row>
      <xdr:rowOff>76200</xdr:rowOff>
    </xdr:to>
    <xdr:sp>
      <xdr:nvSpPr>
        <xdr:cNvPr id="30" name="Line 20"/>
        <xdr:cNvSpPr>
          <a:spLocks/>
        </xdr:cNvSpPr>
      </xdr:nvSpPr>
      <xdr:spPr>
        <a:xfrm>
          <a:off x="4067175" y="10096500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135</xdr:row>
      <xdr:rowOff>142875</xdr:rowOff>
    </xdr:from>
    <xdr:to>
      <xdr:col>7</xdr:col>
      <xdr:colOff>209550</xdr:colOff>
      <xdr:row>151</xdr:row>
      <xdr:rowOff>0</xdr:rowOff>
    </xdr:to>
    <xdr:sp>
      <xdr:nvSpPr>
        <xdr:cNvPr id="31" name="Rectangle 34"/>
        <xdr:cNvSpPr>
          <a:spLocks/>
        </xdr:cNvSpPr>
      </xdr:nvSpPr>
      <xdr:spPr>
        <a:xfrm>
          <a:off x="1162050" y="22117050"/>
          <a:ext cx="5191125" cy="24479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141</xdr:row>
      <xdr:rowOff>47625</xdr:rowOff>
    </xdr:from>
    <xdr:to>
      <xdr:col>7</xdr:col>
      <xdr:colOff>209550</xdr:colOff>
      <xdr:row>146</xdr:row>
      <xdr:rowOff>9525</xdr:rowOff>
    </xdr:to>
    <xdr:sp>
      <xdr:nvSpPr>
        <xdr:cNvPr id="32" name="Rectangle 35"/>
        <xdr:cNvSpPr>
          <a:spLocks/>
        </xdr:cNvSpPr>
      </xdr:nvSpPr>
      <xdr:spPr>
        <a:xfrm>
          <a:off x="1162050" y="22993350"/>
          <a:ext cx="5191125" cy="7715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1362075</xdr:colOff>
      <xdr:row>142</xdr:row>
      <xdr:rowOff>66675</xdr:rowOff>
    </xdr:from>
    <xdr:to>
      <xdr:col>3</xdr:col>
      <xdr:colOff>361950</xdr:colOff>
      <xdr:row>144</xdr:row>
      <xdr:rowOff>123825</xdr:rowOff>
    </xdr:to>
    <xdr:sp>
      <xdr:nvSpPr>
        <xdr:cNvPr id="33" name="Rectangle 40"/>
        <xdr:cNvSpPr>
          <a:spLocks/>
        </xdr:cNvSpPr>
      </xdr:nvSpPr>
      <xdr:spPr>
        <a:xfrm rot="5400000">
          <a:off x="2409825" y="23174325"/>
          <a:ext cx="495300" cy="3810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135</xdr:row>
      <xdr:rowOff>19050</xdr:rowOff>
    </xdr:from>
    <xdr:to>
      <xdr:col>7</xdr:col>
      <xdr:colOff>190500</xdr:colOff>
      <xdr:row>135</xdr:row>
      <xdr:rowOff>28575</xdr:rowOff>
    </xdr:to>
    <xdr:sp>
      <xdr:nvSpPr>
        <xdr:cNvPr id="34" name="Straight Arrow Connector 41"/>
        <xdr:cNvSpPr>
          <a:spLocks/>
        </xdr:cNvSpPr>
      </xdr:nvSpPr>
      <xdr:spPr>
        <a:xfrm>
          <a:off x="1133475" y="21993225"/>
          <a:ext cx="52006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136</xdr:row>
      <xdr:rowOff>28575</xdr:rowOff>
    </xdr:from>
    <xdr:to>
      <xdr:col>1</xdr:col>
      <xdr:colOff>619125</xdr:colOff>
      <xdr:row>151</xdr:row>
      <xdr:rowOff>28575</xdr:rowOff>
    </xdr:to>
    <xdr:sp>
      <xdr:nvSpPr>
        <xdr:cNvPr id="35" name="Straight Arrow Connector 42"/>
        <xdr:cNvSpPr>
          <a:spLocks/>
        </xdr:cNvSpPr>
      </xdr:nvSpPr>
      <xdr:spPr>
        <a:xfrm rot="16200000" flipH="1">
          <a:off x="942975" y="22164675"/>
          <a:ext cx="9525" cy="2428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142</xdr:row>
      <xdr:rowOff>76200</xdr:rowOff>
    </xdr:from>
    <xdr:to>
      <xdr:col>5</xdr:col>
      <xdr:colOff>695325</xdr:colOff>
      <xdr:row>144</xdr:row>
      <xdr:rowOff>133350</xdr:rowOff>
    </xdr:to>
    <xdr:sp>
      <xdr:nvSpPr>
        <xdr:cNvPr id="36" name="Rectangle 45"/>
        <xdr:cNvSpPr>
          <a:spLocks/>
        </xdr:cNvSpPr>
      </xdr:nvSpPr>
      <xdr:spPr>
        <a:xfrm rot="5400000">
          <a:off x="4629150" y="23183850"/>
          <a:ext cx="495300" cy="3810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141</xdr:row>
      <xdr:rowOff>38100</xdr:rowOff>
    </xdr:from>
    <xdr:to>
      <xdr:col>7</xdr:col>
      <xdr:colOff>342900</xdr:colOff>
      <xdr:row>146</xdr:row>
      <xdr:rowOff>9525</xdr:rowOff>
    </xdr:to>
    <xdr:sp>
      <xdr:nvSpPr>
        <xdr:cNvPr id="37" name="Straight Arrow Connector 56"/>
        <xdr:cNvSpPr>
          <a:spLocks/>
        </xdr:cNvSpPr>
      </xdr:nvSpPr>
      <xdr:spPr>
        <a:xfrm rot="5400000">
          <a:off x="6486525" y="22983825"/>
          <a:ext cx="0" cy="781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166</xdr:row>
      <xdr:rowOff>123825</xdr:rowOff>
    </xdr:from>
    <xdr:to>
      <xdr:col>6</xdr:col>
      <xdr:colOff>171450</xdr:colOff>
      <xdr:row>167</xdr:row>
      <xdr:rowOff>95250</xdr:rowOff>
    </xdr:to>
    <xdr:grpSp>
      <xdr:nvGrpSpPr>
        <xdr:cNvPr id="38" name="Group 67"/>
        <xdr:cNvGrpSpPr>
          <a:grpSpLocks/>
        </xdr:cNvGrpSpPr>
      </xdr:nvGrpSpPr>
      <xdr:grpSpPr>
        <a:xfrm>
          <a:off x="1762125" y="27117675"/>
          <a:ext cx="3638550" cy="133350"/>
          <a:chOff x="1397646" y="20836758"/>
          <a:chExt cx="3074694" cy="120581"/>
        </a:xfrm>
        <a:solidFill>
          <a:srgbClr val="FFFFFF"/>
        </a:solidFill>
      </xdr:grpSpPr>
      <xdr:sp>
        <xdr:nvSpPr>
          <xdr:cNvPr id="39" name="Straight Connector 59"/>
          <xdr:cNvSpPr>
            <a:spLocks/>
          </xdr:cNvSpPr>
        </xdr:nvSpPr>
        <xdr:spPr>
          <a:xfrm>
            <a:off x="1397646" y="20957339"/>
            <a:ext cx="307469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0" name="Group 66"/>
          <xdr:cNvGrpSpPr>
            <a:grpSpLocks/>
          </xdr:cNvGrpSpPr>
        </xdr:nvGrpSpPr>
        <xdr:grpSpPr>
          <a:xfrm>
            <a:off x="1397646" y="20836758"/>
            <a:ext cx="3074694" cy="120581"/>
            <a:chOff x="1397645" y="20706925"/>
            <a:chExt cx="3074695" cy="257500"/>
          </a:xfrm>
          <a:solidFill>
            <a:srgbClr val="FFFFFF"/>
          </a:solidFill>
        </xdr:grpSpPr>
        <xdr:sp>
          <xdr:nvSpPr>
            <xdr:cNvPr id="41" name="Straight Connector 61"/>
            <xdr:cNvSpPr>
              <a:spLocks/>
            </xdr:cNvSpPr>
          </xdr:nvSpPr>
          <xdr:spPr>
            <a:xfrm rot="5400000">
              <a:off x="1287726" y="20854151"/>
              <a:ext cx="220609" cy="0"/>
            </a:xfrm>
            <a:prstGeom prst="line">
              <a:avLst/>
            </a:prstGeom>
            <a:noFill/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Straight Connector 62"/>
            <xdr:cNvSpPr>
              <a:spLocks/>
            </xdr:cNvSpPr>
          </xdr:nvSpPr>
          <xdr:spPr>
            <a:xfrm rot="5400000" flipH="1" flipV="1">
              <a:off x="4343971" y="20835739"/>
              <a:ext cx="257506" cy="0"/>
            </a:xfrm>
            <a:prstGeom prst="line">
              <a:avLst/>
            </a:prstGeom>
            <a:noFill/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666750</xdr:colOff>
      <xdr:row>167</xdr:row>
      <xdr:rowOff>142875</xdr:rowOff>
    </xdr:from>
    <xdr:to>
      <xdr:col>6</xdr:col>
      <xdr:colOff>228600</xdr:colOff>
      <xdr:row>167</xdr:row>
      <xdr:rowOff>142875</xdr:rowOff>
    </xdr:to>
    <xdr:sp>
      <xdr:nvSpPr>
        <xdr:cNvPr id="43" name="Straight Connector 64"/>
        <xdr:cNvSpPr>
          <a:spLocks/>
        </xdr:cNvSpPr>
      </xdr:nvSpPr>
      <xdr:spPr>
        <a:xfrm>
          <a:off x="1714500" y="27298650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165</xdr:row>
      <xdr:rowOff>123825</xdr:rowOff>
    </xdr:from>
    <xdr:to>
      <xdr:col>2</xdr:col>
      <xdr:colOff>657225</xdr:colOff>
      <xdr:row>167</xdr:row>
      <xdr:rowOff>152400</xdr:rowOff>
    </xdr:to>
    <xdr:sp>
      <xdr:nvSpPr>
        <xdr:cNvPr id="44" name="Straight Connector 71"/>
        <xdr:cNvSpPr>
          <a:spLocks/>
        </xdr:cNvSpPr>
      </xdr:nvSpPr>
      <xdr:spPr>
        <a:xfrm rot="5400000" flipH="1" flipV="1">
          <a:off x="1704975" y="269557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161</xdr:row>
      <xdr:rowOff>85725</xdr:rowOff>
    </xdr:from>
    <xdr:to>
      <xdr:col>3</xdr:col>
      <xdr:colOff>428625</xdr:colOff>
      <xdr:row>165</xdr:row>
      <xdr:rowOff>123825</xdr:rowOff>
    </xdr:to>
    <xdr:sp>
      <xdr:nvSpPr>
        <xdr:cNvPr id="45" name="Straight Connector 72"/>
        <xdr:cNvSpPr>
          <a:spLocks/>
        </xdr:cNvSpPr>
      </xdr:nvSpPr>
      <xdr:spPr>
        <a:xfrm flipV="1">
          <a:off x="1724025" y="26269950"/>
          <a:ext cx="1247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156</xdr:row>
      <xdr:rowOff>85725</xdr:rowOff>
    </xdr:from>
    <xdr:to>
      <xdr:col>3</xdr:col>
      <xdr:colOff>438150</xdr:colOff>
      <xdr:row>161</xdr:row>
      <xdr:rowOff>76200</xdr:rowOff>
    </xdr:to>
    <xdr:sp>
      <xdr:nvSpPr>
        <xdr:cNvPr id="46" name="Straight Connector 74"/>
        <xdr:cNvSpPr>
          <a:spLocks/>
        </xdr:cNvSpPr>
      </xdr:nvSpPr>
      <xdr:spPr>
        <a:xfrm rot="16200000" flipV="1">
          <a:off x="2981325" y="254603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165</xdr:row>
      <xdr:rowOff>95250</xdr:rowOff>
    </xdr:from>
    <xdr:to>
      <xdr:col>6</xdr:col>
      <xdr:colOff>219075</xdr:colOff>
      <xdr:row>167</xdr:row>
      <xdr:rowOff>133350</xdr:rowOff>
    </xdr:to>
    <xdr:sp>
      <xdr:nvSpPr>
        <xdr:cNvPr id="47" name="Straight Connector 67"/>
        <xdr:cNvSpPr>
          <a:spLocks/>
        </xdr:cNvSpPr>
      </xdr:nvSpPr>
      <xdr:spPr>
        <a:xfrm rot="16200000" flipV="1">
          <a:off x="5448300" y="269271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161</xdr:row>
      <xdr:rowOff>57150</xdr:rowOff>
    </xdr:from>
    <xdr:to>
      <xdr:col>6</xdr:col>
      <xdr:colOff>219075</xdr:colOff>
      <xdr:row>165</xdr:row>
      <xdr:rowOff>95250</xdr:rowOff>
    </xdr:to>
    <xdr:sp>
      <xdr:nvSpPr>
        <xdr:cNvPr id="48" name="Straight Connector 68"/>
        <xdr:cNvSpPr>
          <a:spLocks/>
        </xdr:cNvSpPr>
      </xdr:nvSpPr>
      <xdr:spPr>
        <a:xfrm rot="10800000">
          <a:off x="4105275" y="26241375"/>
          <a:ext cx="1343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165</xdr:row>
      <xdr:rowOff>123825</xdr:rowOff>
    </xdr:from>
    <xdr:to>
      <xdr:col>2</xdr:col>
      <xdr:colOff>542925</xdr:colOff>
      <xdr:row>168</xdr:row>
      <xdr:rowOff>19050</xdr:rowOff>
    </xdr:to>
    <xdr:sp>
      <xdr:nvSpPr>
        <xdr:cNvPr id="49" name="Straight Arrow Connector 75"/>
        <xdr:cNvSpPr>
          <a:spLocks/>
        </xdr:cNvSpPr>
      </xdr:nvSpPr>
      <xdr:spPr>
        <a:xfrm rot="5400000">
          <a:off x="1581150" y="26955750"/>
          <a:ext cx="9525" cy="381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161</xdr:row>
      <xdr:rowOff>123825</xdr:rowOff>
    </xdr:from>
    <xdr:to>
      <xdr:col>6</xdr:col>
      <xdr:colOff>361950</xdr:colOff>
      <xdr:row>167</xdr:row>
      <xdr:rowOff>152400</xdr:rowOff>
    </xdr:to>
    <xdr:sp>
      <xdr:nvSpPr>
        <xdr:cNvPr id="50" name="Straight Arrow Connector 76"/>
        <xdr:cNvSpPr>
          <a:spLocks/>
        </xdr:cNvSpPr>
      </xdr:nvSpPr>
      <xdr:spPr>
        <a:xfrm rot="5400000">
          <a:off x="5581650" y="26308050"/>
          <a:ext cx="9525" cy="1000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1228725</xdr:colOff>
      <xdr:row>167</xdr:row>
      <xdr:rowOff>19050</xdr:rowOff>
    </xdr:from>
    <xdr:to>
      <xdr:col>2</xdr:col>
      <xdr:colOff>1276350</xdr:colOff>
      <xdr:row>167</xdr:row>
      <xdr:rowOff>66675</xdr:rowOff>
    </xdr:to>
    <xdr:sp>
      <xdr:nvSpPr>
        <xdr:cNvPr id="51" name="Oval 79"/>
        <xdr:cNvSpPr>
          <a:spLocks/>
        </xdr:cNvSpPr>
      </xdr:nvSpPr>
      <xdr:spPr>
        <a:xfrm>
          <a:off x="2276475" y="27174825"/>
          <a:ext cx="476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167</xdr:row>
      <xdr:rowOff>19050</xdr:rowOff>
    </xdr:from>
    <xdr:to>
      <xdr:col>5</xdr:col>
      <xdr:colOff>114300</xdr:colOff>
      <xdr:row>167</xdr:row>
      <xdr:rowOff>66675</xdr:rowOff>
    </xdr:to>
    <xdr:sp>
      <xdr:nvSpPr>
        <xdr:cNvPr id="52" name="Oval 81"/>
        <xdr:cNvSpPr>
          <a:spLocks/>
        </xdr:cNvSpPr>
      </xdr:nvSpPr>
      <xdr:spPr>
        <a:xfrm>
          <a:off x="4495800" y="27174825"/>
          <a:ext cx="476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167</xdr:row>
      <xdr:rowOff>19050</xdr:rowOff>
    </xdr:from>
    <xdr:to>
      <xdr:col>5</xdr:col>
      <xdr:colOff>685800</xdr:colOff>
      <xdr:row>167</xdr:row>
      <xdr:rowOff>66675</xdr:rowOff>
    </xdr:to>
    <xdr:sp>
      <xdr:nvSpPr>
        <xdr:cNvPr id="53" name="Oval 82"/>
        <xdr:cNvSpPr>
          <a:spLocks/>
        </xdr:cNvSpPr>
      </xdr:nvSpPr>
      <xdr:spPr>
        <a:xfrm>
          <a:off x="5067300" y="27174825"/>
          <a:ext cx="476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157</xdr:row>
      <xdr:rowOff>38100</xdr:rowOff>
    </xdr:from>
    <xdr:to>
      <xdr:col>4</xdr:col>
      <xdr:colOff>714375</xdr:colOff>
      <xdr:row>167</xdr:row>
      <xdr:rowOff>76200</xdr:rowOff>
    </xdr:to>
    <xdr:grpSp>
      <xdr:nvGrpSpPr>
        <xdr:cNvPr id="54" name="Group 96"/>
        <xdr:cNvGrpSpPr>
          <a:grpSpLocks/>
        </xdr:cNvGrpSpPr>
      </xdr:nvGrpSpPr>
      <xdr:grpSpPr>
        <a:xfrm flipH="1">
          <a:off x="3086100" y="25574625"/>
          <a:ext cx="1152525" cy="1657350"/>
          <a:chOff x="2707648" y="17561072"/>
          <a:chExt cx="1256829" cy="1400072"/>
        </a:xfrm>
        <a:solidFill>
          <a:srgbClr val="FFFFFF"/>
        </a:solidFill>
      </xdr:grpSpPr>
      <xdr:sp>
        <xdr:nvSpPr>
          <xdr:cNvPr id="55" name="Straight Connector 84"/>
          <xdr:cNvSpPr>
            <a:spLocks/>
          </xdr:cNvSpPr>
        </xdr:nvSpPr>
        <xdr:spPr>
          <a:xfrm rot="5400000">
            <a:off x="2564685" y="18261108"/>
            <a:ext cx="140010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Straight Connector 85"/>
          <xdr:cNvSpPr>
            <a:spLocks/>
          </xdr:cNvSpPr>
        </xdr:nvSpPr>
        <xdr:spPr>
          <a:xfrm rot="10800000">
            <a:off x="2707648" y="18961144"/>
            <a:ext cx="5567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790575</xdr:colOff>
      <xdr:row>157</xdr:row>
      <xdr:rowOff>38100</xdr:rowOff>
    </xdr:from>
    <xdr:to>
      <xdr:col>5</xdr:col>
      <xdr:colOff>428625</xdr:colOff>
      <xdr:row>167</xdr:row>
      <xdr:rowOff>76200</xdr:rowOff>
    </xdr:to>
    <xdr:grpSp>
      <xdr:nvGrpSpPr>
        <xdr:cNvPr id="57" name="Group 97"/>
        <xdr:cNvGrpSpPr>
          <a:grpSpLocks/>
        </xdr:cNvGrpSpPr>
      </xdr:nvGrpSpPr>
      <xdr:grpSpPr>
        <a:xfrm>
          <a:off x="3333750" y="25574625"/>
          <a:ext cx="1524000" cy="1657350"/>
          <a:chOff x="2707648" y="17561072"/>
          <a:chExt cx="1256829" cy="1400072"/>
        </a:xfrm>
        <a:solidFill>
          <a:srgbClr val="FFFFFF"/>
        </a:solidFill>
      </xdr:grpSpPr>
      <xdr:sp>
        <xdr:nvSpPr>
          <xdr:cNvPr id="58" name="Straight Connector 87"/>
          <xdr:cNvSpPr>
            <a:spLocks/>
          </xdr:cNvSpPr>
        </xdr:nvSpPr>
        <xdr:spPr>
          <a:xfrm rot="5400000">
            <a:off x="2564685" y="18261108"/>
            <a:ext cx="140010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Straight Connector 88"/>
          <xdr:cNvSpPr>
            <a:spLocks/>
          </xdr:cNvSpPr>
        </xdr:nvSpPr>
        <xdr:spPr>
          <a:xfrm rot="10800000">
            <a:off x="2707648" y="18961144"/>
            <a:ext cx="5567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533400</xdr:colOff>
      <xdr:row>157</xdr:row>
      <xdr:rowOff>38100</xdr:rowOff>
    </xdr:from>
    <xdr:to>
      <xdr:col>4</xdr:col>
      <xdr:colOff>485775</xdr:colOff>
      <xdr:row>157</xdr:row>
      <xdr:rowOff>38100</xdr:rowOff>
    </xdr:to>
    <xdr:sp>
      <xdr:nvSpPr>
        <xdr:cNvPr id="60" name="Straight Connector 92"/>
        <xdr:cNvSpPr>
          <a:spLocks/>
        </xdr:cNvSpPr>
      </xdr:nvSpPr>
      <xdr:spPr>
        <a:xfrm>
          <a:off x="3076575" y="255746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942975</xdr:colOff>
      <xdr:row>166</xdr:row>
      <xdr:rowOff>123825</xdr:rowOff>
    </xdr:from>
    <xdr:to>
      <xdr:col>2</xdr:col>
      <xdr:colOff>1104900</xdr:colOff>
      <xdr:row>167</xdr:row>
      <xdr:rowOff>104775</xdr:rowOff>
    </xdr:to>
    <xdr:sp>
      <xdr:nvSpPr>
        <xdr:cNvPr id="61" name="Oval 93"/>
        <xdr:cNvSpPr>
          <a:spLocks/>
        </xdr:cNvSpPr>
      </xdr:nvSpPr>
      <xdr:spPr>
        <a:xfrm>
          <a:off x="1990725" y="27117675"/>
          <a:ext cx="161925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167</xdr:row>
      <xdr:rowOff>19050</xdr:rowOff>
    </xdr:from>
    <xdr:to>
      <xdr:col>4</xdr:col>
      <xdr:colOff>733425</xdr:colOff>
      <xdr:row>167</xdr:row>
      <xdr:rowOff>66675</xdr:rowOff>
    </xdr:to>
    <xdr:sp>
      <xdr:nvSpPr>
        <xdr:cNvPr id="62" name="Oval 94"/>
        <xdr:cNvSpPr>
          <a:spLocks/>
        </xdr:cNvSpPr>
      </xdr:nvSpPr>
      <xdr:spPr>
        <a:xfrm>
          <a:off x="4210050" y="27174825"/>
          <a:ext cx="476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167</xdr:row>
      <xdr:rowOff>19050</xdr:rowOff>
    </xdr:from>
    <xdr:to>
      <xdr:col>3</xdr:col>
      <xdr:colOff>285750</xdr:colOff>
      <xdr:row>167</xdr:row>
      <xdr:rowOff>66675</xdr:rowOff>
    </xdr:to>
    <xdr:sp>
      <xdr:nvSpPr>
        <xdr:cNvPr id="63" name="Oval 96"/>
        <xdr:cNvSpPr>
          <a:spLocks/>
        </xdr:cNvSpPr>
      </xdr:nvSpPr>
      <xdr:spPr>
        <a:xfrm>
          <a:off x="2781300" y="27174825"/>
          <a:ext cx="476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167</xdr:row>
      <xdr:rowOff>19050</xdr:rowOff>
    </xdr:from>
    <xdr:to>
      <xdr:col>3</xdr:col>
      <xdr:colOff>600075</xdr:colOff>
      <xdr:row>167</xdr:row>
      <xdr:rowOff>57150</xdr:rowOff>
    </xdr:to>
    <xdr:sp>
      <xdr:nvSpPr>
        <xdr:cNvPr id="64" name="Oval 97"/>
        <xdr:cNvSpPr>
          <a:spLocks/>
        </xdr:cNvSpPr>
      </xdr:nvSpPr>
      <xdr:spPr>
        <a:xfrm>
          <a:off x="3095625" y="27174825"/>
          <a:ext cx="47625" cy="381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167</xdr:row>
      <xdr:rowOff>95250</xdr:rowOff>
    </xdr:from>
    <xdr:to>
      <xdr:col>6</xdr:col>
      <xdr:colOff>228600</xdr:colOff>
      <xdr:row>170</xdr:row>
      <xdr:rowOff>95250</xdr:rowOff>
    </xdr:to>
    <xdr:grpSp>
      <xdr:nvGrpSpPr>
        <xdr:cNvPr id="65" name="Group 87"/>
        <xdr:cNvGrpSpPr>
          <a:grpSpLocks/>
        </xdr:cNvGrpSpPr>
      </xdr:nvGrpSpPr>
      <xdr:grpSpPr>
        <a:xfrm>
          <a:off x="4867275" y="27251025"/>
          <a:ext cx="590550" cy="485775"/>
          <a:chOff x="4184430" y="20869603"/>
          <a:chExt cx="328449" cy="610914"/>
        </a:xfrm>
        <a:solidFill>
          <a:srgbClr val="FFFFFF"/>
        </a:solidFill>
      </xdr:grpSpPr>
      <xdr:sp>
        <xdr:nvSpPr>
          <xdr:cNvPr id="66" name="Straight Connector 99"/>
          <xdr:cNvSpPr>
            <a:spLocks/>
          </xdr:cNvSpPr>
        </xdr:nvSpPr>
        <xdr:spPr>
          <a:xfrm rot="16200000" flipH="1">
            <a:off x="4184430" y="20869603"/>
            <a:ext cx="10592" cy="6109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Straight Arrow Connector 100"/>
          <xdr:cNvSpPr>
            <a:spLocks/>
          </xdr:cNvSpPr>
        </xdr:nvSpPr>
        <xdr:spPr>
          <a:xfrm>
            <a:off x="4195022" y="21468604"/>
            <a:ext cx="317857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1028700</xdr:colOff>
      <xdr:row>167</xdr:row>
      <xdr:rowOff>95250</xdr:rowOff>
    </xdr:from>
    <xdr:to>
      <xdr:col>3</xdr:col>
      <xdr:colOff>276225</xdr:colOff>
      <xdr:row>170</xdr:row>
      <xdr:rowOff>104775</xdr:rowOff>
    </xdr:to>
    <xdr:grpSp>
      <xdr:nvGrpSpPr>
        <xdr:cNvPr id="68" name="Group 90"/>
        <xdr:cNvGrpSpPr>
          <a:grpSpLocks/>
        </xdr:cNvGrpSpPr>
      </xdr:nvGrpSpPr>
      <xdr:grpSpPr>
        <a:xfrm>
          <a:off x="2076450" y="27251025"/>
          <a:ext cx="742950" cy="495300"/>
          <a:chOff x="4184430" y="20869603"/>
          <a:chExt cx="328449" cy="610914"/>
        </a:xfrm>
        <a:solidFill>
          <a:srgbClr val="FFFFFF"/>
        </a:solidFill>
      </xdr:grpSpPr>
      <xdr:sp>
        <xdr:nvSpPr>
          <xdr:cNvPr id="69" name="Straight Connector 102"/>
          <xdr:cNvSpPr>
            <a:spLocks/>
          </xdr:cNvSpPr>
        </xdr:nvSpPr>
        <xdr:spPr>
          <a:xfrm rot="16200000" flipH="1">
            <a:off x="4184430" y="20869603"/>
            <a:ext cx="8458" cy="6109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Straight Arrow Connector 103"/>
          <xdr:cNvSpPr>
            <a:spLocks/>
          </xdr:cNvSpPr>
        </xdr:nvSpPr>
        <xdr:spPr>
          <a:xfrm>
            <a:off x="4192888" y="21468757"/>
            <a:ext cx="31999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104775</xdr:colOff>
      <xdr:row>167</xdr:row>
      <xdr:rowOff>28575</xdr:rowOff>
    </xdr:from>
    <xdr:to>
      <xdr:col>6</xdr:col>
      <xdr:colOff>142875</xdr:colOff>
      <xdr:row>167</xdr:row>
      <xdr:rowOff>66675</xdr:rowOff>
    </xdr:to>
    <xdr:sp>
      <xdr:nvSpPr>
        <xdr:cNvPr id="71" name="Oval 106"/>
        <xdr:cNvSpPr>
          <a:spLocks/>
        </xdr:cNvSpPr>
      </xdr:nvSpPr>
      <xdr:spPr>
        <a:xfrm>
          <a:off x="5334000" y="27184350"/>
          <a:ext cx="38100" cy="381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167</xdr:row>
      <xdr:rowOff>19050</xdr:rowOff>
    </xdr:from>
    <xdr:to>
      <xdr:col>5</xdr:col>
      <xdr:colOff>381000</xdr:colOff>
      <xdr:row>167</xdr:row>
      <xdr:rowOff>66675</xdr:rowOff>
    </xdr:to>
    <xdr:sp>
      <xdr:nvSpPr>
        <xdr:cNvPr id="72" name="Oval 108"/>
        <xdr:cNvSpPr>
          <a:spLocks/>
        </xdr:cNvSpPr>
      </xdr:nvSpPr>
      <xdr:spPr>
        <a:xfrm>
          <a:off x="4762500" y="27174825"/>
          <a:ext cx="476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167</xdr:row>
      <xdr:rowOff>9525</xdr:rowOff>
    </xdr:from>
    <xdr:to>
      <xdr:col>4</xdr:col>
      <xdr:colOff>466725</xdr:colOff>
      <xdr:row>167</xdr:row>
      <xdr:rowOff>57150</xdr:rowOff>
    </xdr:to>
    <xdr:sp>
      <xdr:nvSpPr>
        <xdr:cNvPr id="73" name="Oval 113"/>
        <xdr:cNvSpPr>
          <a:spLocks/>
        </xdr:cNvSpPr>
      </xdr:nvSpPr>
      <xdr:spPr>
        <a:xfrm>
          <a:off x="3943350" y="27165300"/>
          <a:ext cx="476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156</xdr:row>
      <xdr:rowOff>114300</xdr:rowOff>
    </xdr:from>
    <xdr:to>
      <xdr:col>3</xdr:col>
      <xdr:colOff>190500</xdr:colOff>
      <xdr:row>167</xdr:row>
      <xdr:rowOff>123825</xdr:rowOff>
    </xdr:to>
    <xdr:sp>
      <xdr:nvSpPr>
        <xdr:cNvPr id="74" name="Straight Arrow Connector 114"/>
        <xdr:cNvSpPr>
          <a:spLocks/>
        </xdr:cNvSpPr>
      </xdr:nvSpPr>
      <xdr:spPr>
        <a:xfrm rot="16200000" flipH="1">
          <a:off x="2733675" y="25488900"/>
          <a:ext cx="0" cy="1790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156</xdr:row>
      <xdr:rowOff>85725</xdr:rowOff>
    </xdr:from>
    <xdr:to>
      <xdr:col>4</xdr:col>
      <xdr:colOff>581025</xdr:colOff>
      <xdr:row>156</xdr:row>
      <xdr:rowOff>85725</xdr:rowOff>
    </xdr:to>
    <xdr:sp>
      <xdr:nvSpPr>
        <xdr:cNvPr id="75" name="Straight Connector 121"/>
        <xdr:cNvSpPr>
          <a:spLocks/>
        </xdr:cNvSpPr>
      </xdr:nvSpPr>
      <xdr:spPr>
        <a:xfrm flipV="1">
          <a:off x="2981325" y="254603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156</xdr:row>
      <xdr:rowOff>76200</xdr:rowOff>
    </xdr:from>
    <xdr:to>
      <xdr:col>4</xdr:col>
      <xdr:colOff>581025</xdr:colOff>
      <xdr:row>161</xdr:row>
      <xdr:rowOff>57150</xdr:rowOff>
    </xdr:to>
    <xdr:sp>
      <xdr:nvSpPr>
        <xdr:cNvPr id="76" name="Straight Connector 125"/>
        <xdr:cNvSpPr>
          <a:spLocks/>
        </xdr:cNvSpPr>
      </xdr:nvSpPr>
      <xdr:spPr>
        <a:xfrm rot="16200000" flipV="1">
          <a:off x="4105275" y="254508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155</xdr:row>
      <xdr:rowOff>57150</xdr:rowOff>
    </xdr:from>
    <xdr:to>
      <xdr:col>4</xdr:col>
      <xdr:colOff>657225</xdr:colOff>
      <xdr:row>155</xdr:row>
      <xdr:rowOff>57150</xdr:rowOff>
    </xdr:to>
    <xdr:sp>
      <xdr:nvSpPr>
        <xdr:cNvPr id="77" name="Straight Arrow Connector 155"/>
        <xdr:cNvSpPr>
          <a:spLocks/>
        </xdr:cNvSpPr>
      </xdr:nvSpPr>
      <xdr:spPr>
        <a:xfrm>
          <a:off x="2962275" y="25269825"/>
          <a:ext cx="12192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159</xdr:row>
      <xdr:rowOff>47625</xdr:rowOff>
    </xdr:from>
    <xdr:to>
      <xdr:col>5</xdr:col>
      <xdr:colOff>466725</xdr:colOff>
      <xdr:row>166</xdr:row>
      <xdr:rowOff>76200</xdr:rowOff>
    </xdr:to>
    <xdr:sp>
      <xdr:nvSpPr>
        <xdr:cNvPr id="78" name="Curved Connector 164"/>
        <xdr:cNvSpPr>
          <a:spLocks/>
        </xdr:cNvSpPr>
      </xdr:nvSpPr>
      <xdr:spPr>
        <a:xfrm rot="5400000">
          <a:off x="3743325" y="25908000"/>
          <a:ext cx="1152525" cy="11620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157</xdr:row>
      <xdr:rowOff>85725</xdr:rowOff>
    </xdr:from>
    <xdr:to>
      <xdr:col>3</xdr:col>
      <xdr:colOff>495300</xdr:colOff>
      <xdr:row>157</xdr:row>
      <xdr:rowOff>123825</xdr:rowOff>
    </xdr:to>
    <xdr:sp>
      <xdr:nvSpPr>
        <xdr:cNvPr id="79" name="Curved Connector 166"/>
        <xdr:cNvSpPr>
          <a:spLocks/>
        </xdr:cNvSpPr>
      </xdr:nvSpPr>
      <xdr:spPr>
        <a:xfrm>
          <a:off x="1762125" y="25622250"/>
          <a:ext cx="1276350" cy="381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157</xdr:row>
      <xdr:rowOff>66675</xdr:rowOff>
    </xdr:from>
    <xdr:to>
      <xdr:col>3</xdr:col>
      <xdr:colOff>619125</xdr:colOff>
      <xdr:row>157</xdr:row>
      <xdr:rowOff>114300</xdr:rowOff>
    </xdr:to>
    <xdr:sp>
      <xdr:nvSpPr>
        <xdr:cNvPr id="80" name="Oval 168"/>
        <xdr:cNvSpPr>
          <a:spLocks/>
        </xdr:cNvSpPr>
      </xdr:nvSpPr>
      <xdr:spPr>
        <a:xfrm>
          <a:off x="3114675" y="25603200"/>
          <a:ext cx="476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157</xdr:row>
      <xdr:rowOff>57150</xdr:rowOff>
    </xdr:from>
    <xdr:to>
      <xdr:col>4</xdr:col>
      <xdr:colOff>466725</xdr:colOff>
      <xdr:row>157</xdr:row>
      <xdr:rowOff>104775</xdr:rowOff>
    </xdr:to>
    <xdr:sp>
      <xdr:nvSpPr>
        <xdr:cNvPr id="81" name="Oval 169"/>
        <xdr:cNvSpPr>
          <a:spLocks/>
        </xdr:cNvSpPr>
      </xdr:nvSpPr>
      <xdr:spPr>
        <a:xfrm>
          <a:off x="3943350" y="25593675"/>
          <a:ext cx="476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1485900</xdr:colOff>
      <xdr:row>167</xdr:row>
      <xdr:rowOff>19050</xdr:rowOff>
    </xdr:from>
    <xdr:to>
      <xdr:col>3</xdr:col>
      <xdr:colOff>28575</xdr:colOff>
      <xdr:row>167</xdr:row>
      <xdr:rowOff>66675</xdr:rowOff>
    </xdr:to>
    <xdr:sp>
      <xdr:nvSpPr>
        <xdr:cNvPr id="82" name="Oval 183"/>
        <xdr:cNvSpPr>
          <a:spLocks/>
        </xdr:cNvSpPr>
      </xdr:nvSpPr>
      <xdr:spPr>
        <a:xfrm>
          <a:off x="2533650" y="27174825"/>
          <a:ext cx="38100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167</xdr:row>
      <xdr:rowOff>9525</xdr:rowOff>
    </xdr:from>
    <xdr:to>
      <xdr:col>2</xdr:col>
      <xdr:colOff>762000</xdr:colOff>
      <xdr:row>167</xdr:row>
      <xdr:rowOff>57150</xdr:rowOff>
    </xdr:to>
    <xdr:sp>
      <xdr:nvSpPr>
        <xdr:cNvPr id="83" name="Oval 184"/>
        <xdr:cNvSpPr>
          <a:spLocks/>
        </xdr:cNvSpPr>
      </xdr:nvSpPr>
      <xdr:spPr>
        <a:xfrm>
          <a:off x="1762125" y="27165300"/>
          <a:ext cx="476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167</xdr:row>
      <xdr:rowOff>19050</xdr:rowOff>
    </xdr:from>
    <xdr:to>
      <xdr:col>2</xdr:col>
      <xdr:colOff>1047750</xdr:colOff>
      <xdr:row>167</xdr:row>
      <xdr:rowOff>66675</xdr:rowOff>
    </xdr:to>
    <xdr:sp>
      <xdr:nvSpPr>
        <xdr:cNvPr id="84" name="Oval 185"/>
        <xdr:cNvSpPr>
          <a:spLocks/>
        </xdr:cNvSpPr>
      </xdr:nvSpPr>
      <xdr:spPr>
        <a:xfrm>
          <a:off x="2047875" y="27174825"/>
          <a:ext cx="476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178</xdr:row>
      <xdr:rowOff>85725</xdr:rowOff>
    </xdr:from>
    <xdr:to>
      <xdr:col>7</xdr:col>
      <xdr:colOff>219075</xdr:colOff>
      <xdr:row>184</xdr:row>
      <xdr:rowOff>104775</xdr:rowOff>
    </xdr:to>
    <xdr:sp>
      <xdr:nvSpPr>
        <xdr:cNvPr id="85" name="Rectangle 86"/>
        <xdr:cNvSpPr>
          <a:spLocks/>
        </xdr:cNvSpPr>
      </xdr:nvSpPr>
      <xdr:spPr>
        <a:xfrm>
          <a:off x="1438275" y="29022675"/>
          <a:ext cx="4924425" cy="990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179</xdr:row>
      <xdr:rowOff>85725</xdr:rowOff>
    </xdr:from>
    <xdr:to>
      <xdr:col>7</xdr:col>
      <xdr:colOff>285750</xdr:colOff>
      <xdr:row>181</xdr:row>
      <xdr:rowOff>133350</xdr:rowOff>
    </xdr:to>
    <xdr:grpSp>
      <xdr:nvGrpSpPr>
        <xdr:cNvPr id="86" name="Group 89"/>
        <xdr:cNvGrpSpPr>
          <a:grpSpLocks/>
        </xdr:cNvGrpSpPr>
      </xdr:nvGrpSpPr>
      <xdr:grpSpPr>
        <a:xfrm>
          <a:off x="1571625" y="29184600"/>
          <a:ext cx="4857750" cy="371475"/>
          <a:chOff x="1837531" y="28651200"/>
          <a:chExt cx="4621600" cy="372269"/>
        </a:xfrm>
        <a:solidFill>
          <a:srgbClr val="FFFFFF"/>
        </a:solidFill>
      </xdr:grpSpPr>
      <xdr:sp>
        <xdr:nvSpPr>
          <xdr:cNvPr id="87" name="Straight Connector 90"/>
          <xdr:cNvSpPr>
            <a:spLocks/>
          </xdr:cNvSpPr>
        </xdr:nvSpPr>
        <xdr:spPr>
          <a:xfrm>
            <a:off x="1846774" y="28651200"/>
            <a:ext cx="442171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Straight Connector 91"/>
          <xdr:cNvSpPr>
            <a:spLocks/>
          </xdr:cNvSpPr>
        </xdr:nvSpPr>
        <xdr:spPr>
          <a:xfrm rot="5400000">
            <a:off x="1657290" y="28832588"/>
            <a:ext cx="36279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Straight Connector 95"/>
          <xdr:cNvSpPr>
            <a:spLocks/>
          </xdr:cNvSpPr>
        </xdr:nvSpPr>
        <xdr:spPr>
          <a:xfrm rot="5400000">
            <a:off x="6096335" y="28842081"/>
            <a:ext cx="36279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609600</xdr:colOff>
      <xdr:row>181</xdr:row>
      <xdr:rowOff>123825</xdr:rowOff>
    </xdr:from>
    <xdr:to>
      <xdr:col>7</xdr:col>
      <xdr:colOff>123825</xdr:colOff>
      <xdr:row>183</xdr:row>
      <xdr:rowOff>123825</xdr:rowOff>
    </xdr:to>
    <xdr:grpSp>
      <xdr:nvGrpSpPr>
        <xdr:cNvPr id="90" name="Group 98"/>
        <xdr:cNvGrpSpPr>
          <a:grpSpLocks/>
        </xdr:cNvGrpSpPr>
      </xdr:nvGrpSpPr>
      <xdr:grpSpPr>
        <a:xfrm flipV="1">
          <a:off x="1657350" y="29546550"/>
          <a:ext cx="4610100" cy="323850"/>
          <a:chOff x="1837531" y="28651200"/>
          <a:chExt cx="4620898" cy="372269"/>
        </a:xfrm>
        <a:solidFill>
          <a:srgbClr val="FFFFFF"/>
        </a:solidFill>
      </xdr:grpSpPr>
      <xdr:sp>
        <xdr:nvSpPr>
          <xdr:cNvPr id="91" name="Straight Connector 101"/>
          <xdr:cNvSpPr>
            <a:spLocks/>
          </xdr:cNvSpPr>
        </xdr:nvSpPr>
        <xdr:spPr>
          <a:xfrm>
            <a:off x="1846773" y="28651200"/>
            <a:ext cx="4421044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Straight Connector 104"/>
          <xdr:cNvSpPr>
            <a:spLocks/>
          </xdr:cNvSpPr>
        </xdr:nvSpPr>
        <xdr:spPr>
          <a:xfrm rot="5400000">
            <a:off x="1658472" y="28831844"/>
            <a:ext cx="361585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Straight Connector 105"/>
          <xdr:cNvSpPr>
            <a:spLocks/>
          </xdr:cNvSpPr>
        </xdr:nvSpPr>
        <xdr:spPr>
          <a:xfrm rot="5400000">
            <a:off x="6096844" y="28842825"/>
            <a:ext cx="361585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175</xdr:row>
      <xdr:rowOff>28575</xdr:rowOff>
    </xdr:from>
    <xdr:to>
      <xdr:col>4</xdr:col>
      <xdr:colOff>342900</xdr:colOff>
      <xdr:row>179</xdr:row>
      <xdr:rowOff>66675</xdr:rowOff>
    </xdr:to>
    <xdr:sp>
      <xdr:nvSpPr>
        <xdr:cNvPr id="94" name="Curved Connector 107"/>
        <xdr:cNvSpPr>
          <a:spLocks/>
        </xdr:cNvSpPr>
      </xdr:nvSpPr>
      <xdr:spPr>
        <a:xfrm flipV="1">
          <a:off x="2552700" y="28479750"/>
          <a:ext cx="1314450" cy="6858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704850</xdr:colOff>
      <xdr:row>183</xdr:row>
      <xdr:rowOff>123825</xdr:rowOff>
    </xdr:from>
    <xdr:to>
      <xdr:col>4</xdr:col>
      <xdr:colOff>352425</xdr:colOff>
      <xdr:row>186</xdr:row>
      <xdr:rowOff>76200</xdr:rowOff>
    </xdr:to>
    <xdr:sp>
      <xdr:nvSpPr>
        <xdr:cNvPr id="95" name="Curved Connector 109"/>
        <xdr:cNvSpPr>
          <a:spLocks/>
        </xdr:cNvSpPr>
      </xdr:nvSpPr>
      <xdr:spPr>
        <a:xfrm>
          <a:off x="3248025" y="29870400"/>
          <a:ext cx="628650" cy="4381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152</xdr:row>
      <xdr:rowOff>19050</xdr:rowOff>
    </xdr:from>
    <xdr:to>
      <xdr:col>5</xdr:col>
      <xdr:colOff>352425</xdr:colOff>
      <xdr:row>152</xdr:row>
      <xdr:rowOff>19050</xdr:rowOff>
    </xdr:to>
    <xdr:sp>
      <xdr:nvSpPr>
        <xdr:cNvPr id="96" name="Line 29"/>
        <xdr:cNvSpPr>
          <a:spLocks/>
        </xdr:cNvSpPr>
      </xdr:nvSpPr>
      <xdr:spPr>
        <a:xfrm>
          <a:off x="2590800" y="2474595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152</xdr:row>
      <xdr:rowOff>19050</xdr:rowOff>
    </xdr:from>
    <xdr:to>
      <xdr:col>7</xdr:col>
      <xdr:colOff>238125</xdr:colOff>
      <xdr:row>152</xdr:row>
      <xdr:rowOff>19050</xdr:rowOff>
    </xdr:to>
    <xdr:sp>
      <xdr:nvSpPr>
        <xdr:cNvPr id="97" name="Line 30"/>
        <xdr:cNvSpPr>
          <a:spLocks/>
        </xdr:cNvSpPr>
      </xdr:nvSpPr>
      <xdr:spPr>
        <a:xfrm>
          <a:off x="4829175" y="247459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152</xdr:row>
      <xdr:rowOff>19050</xdr:rowOff>
    </xdr:from>
    <xdr:to>
      <xdr:col>3</xdr:col>
      <xdr:colOff>19050</xdr:colOff>
      <xdr:row>152</xdr:row>
      <xdr:rowOff>19050</xdr:rowOff>
    </xdr:to>
    <xdr:sp>
      <xdr:nvSpPr>
        <xdr:cNvPr id="98" name="Line 31"/>
        <xdr:cNvSpPr>
          <a:spLocks/>
        </xdr:cNvSpPr>
      </xdr:nvSpPr>
      <xdr:spPr>
        <a:xfrm>
          <a:off x="1066800" y="2474595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123</xdr:row>
      <xdr:rowOff>104775</xdr:rowOff>
    </xdr:from>
    <xdr:to>
      <xdr:col>6</xdr:col>
      <xdr:colOff>9525</xdr:colOff>
      <xdr:row>123</xdr:row>
      <xdr:rowOff>228600</xdr:rowOff>
    </xdr:to>
    <xdr:grpSp>
      <xdr:nvGrpSpPr>
        <xdr:cNvPr id="1" name="Group 67"/>
        <xdr:cNvGrpSpPr>
          <a:grpSpLocks/>
        </xdr:cNvGrpSpPr>
      </xdr:nvGrpSpPr>
      <xdr:grpSpPr>
        <a:xfrm>
          <a:off x="1695450" y="20488275"/>
          <a:ext cx="3209925" cy="123825"/>
          <a:chOff x="1397646" y="20836758"/>
          <a:chExt cx="3074694" cy="120581"/>
        </a:xfrm>
        <a:solidFill>
          <a:srgbClr val="FFFFFF"/>
        </a:solidFill>
      </xdr:grpSpPr>
      <xdr:sp>
        <xdr:nvSpPr>
          <xdr:cNvPr id="2" name="Straight Connector 77"/>
          <xdr:cNvSpPr>
            <a:spLocks/>
          </xdr:cNvSpPr>
        </xdr:nvSpPr>
        <xdr:spPr>
          <a:xfrm>
            <a:off x="1397646" y="20957339"/>
            <a:ext cx="307469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66"/>
          <xdr:cNvGrpSpPr>
            <a:grpSpLocks/>
          </xdr:cNvGrpSpPr>
        </xdr:nvGrpSpPr>
        <xdr:grpSpPr>
          <a:xfrm>
            <a:off x="1397646" y="20836758"/>
            <a:ext cx="3070082" cy="114341"/>
            <a:chOff x="1397646" y="20706924"/>
            <a:chExt cx="3070046" cy="244178"/>
          </a:xfrm>
          <a:solidFill>
            <a:srgbClr val="FFFFFF"/>
          </a:solidFill>
        </xdr:grpSpPr>
        <xdr:sp>
          <xdr:nvSpPr>
            <xdr:cNvPr id="4" name="Straight Connector 75"/>
            <xdr:cNvSpPr>
              <a:spLocks/>
            </xdr:cNvSpPr>
          </xdr:nvSpPr>
          <xdr:spPr>
            <a:xfrm rot="5400000">
              <a:off x="1289428" y="20855506"/>
              <a:ext cx="217973" cy="0"/>
            </a:xfrm>
            <a:prstGeom prst="line">
              <a:avLst/>
            </a:prstGeom>
            <a:noFill/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Straight Connector 79"/>
            <xdr:cNvSpPr>
              <a:spLocks/>
            </xdr:cNvSpPr>
          </xdr:nvSpPr>
          <xdr:spPr>
            <a:xfrm rot="5400000" flipH="1" flipV="1">
              <a:off x="4343355" y="20835667"/>
              <a:ext cx="257116" cy="0"/>
            </a:xfrm>
            <a:prstGeom prst="line">
              <a:avLst/>
            </a:prstGeom>
            <a:noFill/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590550</xdr:colOff>
      <xdr:row>95</xdr:row>
      <xdr:rowOff>47625</xdr:rowOff>
    </xdr:from>
    <xdr:to>
      <xdr:col>6</xdr:col>
      <xdr:colOff>76200</xdr:colOff>
      <xdr:row>111</xdr:row>
      <xdr:rowOff>76200</xdr:rowOff>
    </xdr:to>
    <xdr:grpSp>
      <xdr:nvGrpSpPr>
        <xdr:cNvPr id="6" name="Group 20"/>
        <xdr:cNvGrpSpPr>
          <a:grpSpLocks/>
        </xdr:cNvGrpSpPr>
      </xdr:nvGrpSpPr>
      <xdr:grpSpPr>
        <a:xfrm>
          <a:off x="1581150" y="15668625"/>
          <a:ext cx="3390900" cy="2809875"/>
          <a:chOff x="1656525" y="14749255"/>
          <a:chExt cx="3122540" cy="2702199"/>
        </a:xfrm>
        <a:solidFill>
          <a:srgbClr val="FFFFFF"/>
        </a:solidFill>
      </xdr:grpSpPr>
      <xdr:sp>
        <xdr:nvSpPr>
          <xdr:cNvPr id="7" name="Rectangle 2"/>
          <xdr:cNvSpPr>
            <a:spLocks/>
          </xdr:cNvSpPr>
        </xdr:nvSpPr>
        <xdr:spPr>
          <a:xfrm>
            <a:off x="1665112" y="14749255"/>
            <a:ext cx="3113953" cy="2692741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3"/>
          <xdr:cNvSpPr>
            <a:spLocks/>
          </xdr:cNvSpPr>
        </xdr:nvSpPr>
        <xdr:spPr>
          <a:xfrm>
            <a:off x="2814207" y="15692998"/>
            <a:ext cx="780635" cy="842411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Straight Connector 5"/>
          <xdr:cNvSpPr>
            <a:spLocks/>
          </xdr:cNvSpPr>
        </xdr:nvSpPr>
        <xdr:spPr>
          <a:xfrm>
            <a:off x="1665112" y="14758713"/>
            <a:ext cx="1149095" cy="9248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traight Connector 8"/>
          <xdr:cNvSpPr>
            <a:spLocks/>
          </xdr:cNvSpPr>
        </xdr:nvSpPr>
        <xdr:spPr>
          <a:xfrm rot="10800000" flipV="1">
            <a:off x="1656525" y="16526626"/>
            <a:ext cx="1157682" cy="9248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Straight Connector 10"/>
          <xdr:cNvSpPr>
            <a:spLocks/>
          </xdr:cNvSpPr>
        </xdr:nvSpPr>
        <xdr:spPr>
          <a:xfrm>
            <a:off x="3577668" y="16517169"/>
            <a:ext cx="1192810" cy="9065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Straight Connector 12"/>
          <xdr:cNvSpPr>
            <a:spLocks/>
          </xdr:cNvSpPr>
        </xdr:nvSpPr>
        <xdr:spPr>
          <a:xfrm flipV="1">
            <a:off x="3603429" y="14776953"/>
            <a:ext cx="1175636" cy="9248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4"/>
          <xdr:cNvSpPr>
            <a:spLocks/>
          </xdr:cNvSpPr>
        </xdr:nvSpPr>
        <xdr:spPr>
          <a:xfrm>
            <a:off x="2981263" y="15857832"/>
            <a:ext cx="455891" cy="540440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590550</xdr:colOff>
      <xdr:row>94</xdr:row>
      <xdr:rowOff>19050</xdr:rowOff>
    </xdr:from>
    <xdr:to>
      <xdr:col>6</xdr:col>
      <xdr:colOff>66675</xdr:colOff>
      <xdr:row>94</xdr:row>
      <xdr:rowOff>19050</xdr:rowOff>
    </xdr:to>
    <xdr:sp>
      <xdr:nvSpPr>
        <xdr:cNvPr id="14" name="Straight Arrow Connector 22"/>
        <xdr:cNvSpPr>
          <a:spLocks/>
        </xdr:cNvSpPr>
      </xdr:nvSpPr>
      <xdr:spPr>
        <a:xfrm>
          <a:off x="1581150" y="15478125"/>
          <a:ext cx="33813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95</xdr:row>
      <xdr:rowOff>85725</xdr:rowOff>
    </xdr:from>
    <xdr:to>
      <xdr:col>2</xdr:col>
      <xdr:colOff>390525</xdr:colOff>
      <xdr:row>111</xdr:row>
      <xdr:rowOff>104775</xdr:rowOff>
    </xdr:to>
    <xdr:sp>
      <xdr:nvSpPr>
        <xdr:cNvPr id="15" name="Straight Arrow Connector 23"/>
        <xdr:cNvSpPr>
          <a:spLocks/>
        </xdr:cNvSpPr>
      </xdr:nvSpPr>
      <xdr:spPr>
        <a:xfrm rot="5400000">
          <a:off x="1371600" y="15706725"/>
          <a:ext cx="9525" cy="28003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115</xdr:row>
      <xdr:rowOff>0</xdr:rowOff>
    </xdr:from>
    <xdr:to>
      <xdr:col>6</xdr:col>
      <xdr:colOff>276225</xdr:colOff>
      <xdr:row>125</xdr:row>
      <xdr:rowOff>0</xdr:rowOff>
    </xdr:to>
    <xdr:grpSp>
      <xdr:nvGrpSpPr>
        <xdr:cNvPr id="16" name="Group 58"/>
        <xdr:cNvGrpSpPr>
          <a:grpSpLocks/>
        </xdr:cNvGrpSpPr>
      </xdr:nvGrpSpPr>
      <xdr:grpSpPr>
        <a:xfrm>
          <a:off x="1609725" y="19050000"/>
          <a:ext cx="3562350" cy="1743075"/>
          <a:chOff x="1704560" y="18381326"/>
          <a:chExt cx="3127750" cy="1897102"/>
        </a:xfrm>
        <a:solidFill>
          <a:srgbClr val="FFFFFF"/>
        </a:solidFill>
      </xdr:grpSpPr>
      <xdr:sp>
        <xdr:nvSpPr>
          <xdr:cNvPr id="17" name="Straight Connector 36"/>
          <xdr:cNvSpPr>
            <a:spLocks/>
          </xdr:cNvSpPr>
        </xdr:nvSpPr>
        <xdr:spPr>
          <a:xfrm>
            <a:off x="1704560" y="20278428"/>
            <a:ext cx="31277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8" name="Group 52"/>
          <xdr:cNvGrpSpPr>
            <a:grpSpLocks/>
          </xdr:cNvGrpSpPr>
        </xdr:nvGrpSpPr>
        <xdr:grpSpPr>
          <a:xfrm>
            <a:off x="1706124" y="18381326"/>
            <a:ext cx="1379338" cy="1892359"/>
            <a:chOff x="1706372" y="18381326"/>
            <a:chExt cx="1206351" cy="1892454"/>
          </a:xfrm>
          <a:solidFill>
            <a:srgbClr val="FFFFFF"/>
          </a:solidFill>
        </xdr:grpSpPr>
        <xdr:sp>
          <xdr:nvSpPr>
            <xdr:cNvPr id="19" name="Straight Connector 38"/>
            <xdr:cNvSpPr>
              <a:spLocks/>
            </xdr:cNvSpPr>
          </xdr:nvSpPr>
          <xdr:spPr>
            <a:xfrm rot="5400000" flipH="1" flipV="1">
              <a:off x="1539293" y="20112448"/>
              <a:ext cx="33174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Straight Connector 41"/>
            <xdr:cNvSpPr>
              <a:spLocks/>
            </xdr:cNvSpPr>
          </xdr:nvSpPr>
          <xdr:spPr>
            <a:xfrm flipV="1">
              <a:off x="1706372" y="19272672"/>
              <a:ext cx="1052843" cy="6737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Straight Connector 43"/>
            <xdr:cNvSpPr>
              <a:spLocks/>
            </xdr:cNvSpPr>
          </xdr:nvSpPr>
          <xdr:spPr>
            <a:xfrm>
              <a:off x="2743231" y="19272672"/>
              <a:ext cx="16074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Straight Connector 45"/>
            <xdr:cNvSpPr>
              <a:spLocks/>
            </xdr:cNvSpPr>
          </xdr:nvSpPr>
          <xdr:spPr>
            <a:xfrm rot="5400000" flipH="1" flipV="1">
              <a:off x="2460341" y="18832203"/>
              <a:ext cx="9020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3" name="Group 53"/>
          <xdr:cNvGrpSpPr>
            <a:grpSpLocks/>
          </xdr:cNvGrpSpPr>
        </xdr:nvGrpSpPr>
        <xdr:grpSpPr>
          <a:xfrm flipH="1">
            <a:off x="3483468" y="18386069"/>
            <a:ext cx="1344151" cy="1892359"/>
            <a:chOff x="1706372" y="18381323"/>
            <a:chExt cx="1206352" cy="1892457"/>
          </a:xfrm>
          <a:solidFill>
            <a:srgbClr val="FFFFFF"/>
          </a:solidFill>
        </xdr:grpSpPr>
        <xdr:sp>
          <xdr:nvSpPr>
            <xdr:cNvPr id="24" name="Straight Connector 54"/>
            <xdr:cNvSpPr>
              <a:spLocks/>
            </xdr:cNvSpPr>
          </xdr:nvSpPr>
          <xdr:spPr>
            <a:xfrm rot="5400000" flipH="1" flipV="1">
              <a:off x="1561611" y="20102513"/>
              <a:ext cx="34200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Straight Connector 55"/>
            <xdr:cNvSpPr>
              <a:spLocks/>
            </xdr:cNvSpPr>
          </xdr:nvSpPr>
          <xdr:spPr>
            <a:xfrm flipV="1">
              <a:off x="1732309" y="19258004"/>
              <a:ext cx="1020574" cy="67371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Straight Connector 56"/>
            <xdr:cNvSpPr>
              <a:spLocks/>
            </xdr:cNvSpPr>
          </xdr:nvSpPr>
          <xdr:spPr>
            <a:xfrm>
              <a:off x="2737803" y="19258004"/>
              <a:ext cx="16496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Straight Connector 57"/>
            <xdr:cNvSpPr>
              <a:spLocks/>
            </xdr:cNvSpPr>
          </xdr:nvSpPr>
          <xdr:spPr>
            <a:xfrm rot="5400000" flipH="1" flipV="1">
              <a:off x="2459437" y="18827470"/>
              <a:ext cx="90205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514350</xdr:colOff>
      <xdr:row>123</xdr:row>
      <xdr:rowOff>95250</xdr:rowOff>
    </xdr:from>
    <xdr:to>
      <xdr:col>2</xdr:col>
      <xdr:colOff>523875</xdr:colOff>
      <xdr:row>125</xdr:row>
      <xdr:rowOff>19050</xdr:rowOff>
    </xdr:to>
    <xdr:sp>
      <xdr:nvSpPr>
        <xdr:cNvPr id="28" name="Straight Arrow Connector 62"/>
        <xdr:cNvSpPr>
          <a:spLocks/>
        </xdr:cNvSpPr>
      </xdr:nvSpPr>
      <xdr:spPr>
        <a:xfrm rot="16200000" flipH="1">
          <a:off x="1504950" y="20478750"/>
          <a:ext cx="9525" cy="333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120</xdr:row>
      <xdr:rowOff>9525</xdr:rowOff>
    </xdr:from>
    <xdr:to>
      <xdr:col>6</xdr:col>
      <xdr:colOff>438150</xdr:colOff>
      <xdr:row>124</xdr:row>
      <xdr:rowOff>161925</xdr:rowOff>
    </xdr:to>
    <xdr:sp>
      <xdr:nvSpPr>
        <xdr:cNvPr id="29" name="Straight Arrow Connector 64"/>
        <xdr:cNvSpPr>
          <a:spLocks/>
        </xdr:cNvSpPr>
      </xdr:nvSpPr>
      <xdr:spPr>
        <a:xfrm rot="5400000">
          <a:off x="5324475" y="19869150"/>
          <a:ext cx="9525" cy="923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124</xdr:row>
      <xdr:rowOff>19050</xdr:rowOff>
    </xdr:from>
    <xdr:to>
      <xdr:col>2</xdr:col>
      <xdr:colOff>762000</xdr:colOff>
      <xdr:row>124</xdr:row>
      <xdr:rowOff>66675</xdr:rowOff>
    </xdr:to>
    <xdr:sp>
      <xdr:nvSpPr>
        <xdr:cNvPr id="30" name="Oval 80"/>
        <xdr:cNvSpPr>
          <a:spLocks/>
        </xdr:cNvSpPr>
      </xdr:nvSpPr>
      <xdr:spPr>
        <a:xfrm>
          <a:off x="1704975" y="20650200"/>
          <a:ext cx="476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124</xdr:row>
      <xdr:rowOff>19050</xdr:rowOff>
    </xdr:from>
    <xdr:to>
      <xdr:col>3</xdr:col>
      <xdr:colOff>66675</xdr:colOff>
      <xdr:row>124</xdr:row>
      <xdr:rowOff>66675</xdr:rowOff>
    </xdr:to>
    <xdr:sp>
      <xdr:nvSpPr>
        <xdr:cNvPr id="31" name="Oval 81"/>
        <xdr:cNvSpPr>
          <a:spLocks/>
        </xdr:cNvSpPr>
      </xdr:nvSpPr>
      <xdr:spPr>
        <a:xfrm>
          <a:off x="2457450" y="20650200"/>
          <a:ext cx="476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1076325</xdr:colOff>
      <xdr:row>124</xdr:row>
      <xdr:rowOff>19050</xdr:rowOff>
    </xdr:from>
    <xdr:to>
      <xdr:col>2</xdr:col>
      <xdr:colOff>1114425</xdr:colOff>
      <xdr:row>124</xdr:row>
      <xdr:rowOff>66675</xdr:rowOff>
    </xdr:to>
    <xdr:sp>
      <xdr:nvSpPr>
        <xdr:cNvPr id="32" name="Oval 82"/>
        <xdr:cNvSpPr>
          <a:spLocks/>
        </xdr:cNvSpPr>
      </xdr:nvSpPr>
      <xdr:spPr>
        <a:xfrm>
          <a:off x="2066925" y="20650200"/>
          <a:ext cx="38100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124</xdr:row>
      <xdr:rowOff>19050</xdr:rowOff>
    </xdr:from>
    <xdr:to>
      <xdr:col>5</xdr:col>
      <xdr:colOff>342900</xdr:colOff>
      <xdr:row>124</xdr:row>
      <xdr:rowOff>66675</xdr:rowOff>
    </xdr:to>
    <xdr:sp>
      <xdr:nvSpPr>
        <xdr:cNvPr id="33" name="Oval 85"/>
        <xdr:cNvSpPr>
          <a:spLocks/>
        </xdr:cNvSpPr>
      </xdr:nvSpPr>
      <xdr:spPr>
        <a:xfrm>
          <a:off x="4476750" y="20650200"/>
          <a:ext cx="476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124</xdr:row>
      <xdr:rowOff>19050</xdr:rowOff>
    </xdr:from>
    <xdr:to>
      <xdr:col>5</xdr:col>
      <xdr:colOff>695325</xdr:colOff>
      <xdr:row>124</xdr:row>
      <xdr:rowOff>66675</xdr:rowOff>
    </xdr:to>
    <xdr:sp>
      <xdr:nvSpPr>
        <xdr:cNvPr id="34" name="Oval 86"/>
        <xdr:cNvSpPr>
          <a:spLocks/>
        </xdr:cNvSpPr>
      </xdr:nvSpPr>
      <xdr:spPr>
        <a:xfrm>
          <a:off x="4838700" y="20650200"/>
          <a:ext cx="38100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115</xdr:row>
      <xdr:rowOff>95250</xdr:rowOff>
    </xdr:from>
    <xdr:to>
      <xdr:col>4</xdr:col>
      <xdr:colOff>781050</xdr:colOff>
      <xdr:row>124</xdr:row>
      <xdr:rowOff>38100</xdr:rowOff>
    </xdr:to>
    <xdr:grpSp>
      <xdr:nvGrpSpPr>
        <xdr:cNvPr id="35" name="Group 96"/>
        <xdr:cNvGrpSpPr>
          <a:grpSpLocks/>
        </xdr:cNvGrpSpPr>
      </xdr:nvGrpSpPr>
      <xdr:grpSpPr>
        <a:xfrm>
          <a:off x="2619375" y="19145250"/>
          <a:ext cx="1390650" cy="1524000"/>
          <a:chOff x="2707648" y="17561072"/>
          <a:chExt cx="1256829" cy="1400072"/>
        </a:xfrm>
        <a:solidFill>
          <a:srgbClr val="FFFFFF"/>
        </a:solidFill>
      </xdr:grpSpPr>
      <xdr:sp>
        <xdr:nvSpPr>
          <xdr:cNvPr id="36" name="Straight Connector 91"/>
          <xdr:cNvSpPr>
            <a:spLocks/>
          </xdr:cNvSpPr>
        </xdr:nvSpPr>
        <xdr:spPr>
          <a:xfrm rot="5400000">
            <a:off x="2564685" y="18261108"/>
            <a:ext cx="140010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Straight Connector 93"/>
          <xdr:cNvSpPr>
            <a:spLocks/>
          </xdr:cNvSpPr>
        </xdr:nvSpPr>
        <xdr:spPr>
          <a:xfrm rot="10800000">
            <a:off x="2707648" y="18961144"/>
            <a:ext cx="5567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323850</xdr:colOff>
      <xdr:row>115</xdr:row>
      <xdr:rowOff>95250</xdr:rowOff>
    </xdr:from>
    <xdr:to>
      <xdr:col>5</xdr:col>
      <xdr:colOff>466725</xdr:colOff>
      <xdr:row>124</xdr:row>
      <xdr:rowOff>38100</xdr:rowOff>
    </xdr:to>
    <xdr:grpSp>
      <xdr:nvGrpSpPr>
        <xdr:cNvPr id="38" name="Group 97"/>
        <xdr:cNvGrpSpPr>
          <a:grpSpLocks/>
        </xdr:cNvGrpSpPr>
      </xdr:nvGrpSpPr>
      <xdr:grpSpPr>
        <a:xfrm flipH="1">
          <a:off x="3552825" y="19145250"/>
          <a:ext cx="1095375" cy="1524000"/>
          <a:chOff x="2707648" y="17561072"/>
          <a:chExt cx="1256829" cy="1400072"/>
        </a:xfrm>
        <a:solidFill>
          <a:srgbClr val="FFFFFF"/>
        </a:solidFill>
      </xdr:grpSpPr>
      <xdr:sp>
        <xdr:nvSpPr>
          <xdr:cNvPr id="39" name="Straight Connector 98"/>
          <xdr:cNvSpPr>
            <a:spLocks/>
          </xdr:cNvSpPr>
        </xdr:nvSpPr>
        <xdr:spPr>
          <a:xfrm rot="5400000">
            <a:off x="2564685" y="18261108"/>
            <a:ext cx="140010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Straight Connector 99"/>
          <xdr:cNvSpPr>
            <a:spLocks/>
          </xdr:cNvSpPr>
        </xdr:nvSpPr>
        <xdr:spPr>
          <a:xfrm rot="10800000">
            <a:off x="2707648" y="18961144"/>
            <a:ext cx="5567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9525</xdr:colOff>
      <xdr:row>117</xdr:row>
      <xdr:rowOff>114300</xdr:rowOff>
    </xdr:from>
    <xdr:to>
      <xdr:col>4</xdr:col>
      <xdr:colOff>314325</xdr:colOff>
      <xdr:row>117</xdr:row>
      <xdr:rowOff>123825</xdr:rowOff>
    </xdr:to>
    <xdr:sp>
      <xdr:nvSpPr>
        <xdr:cNvPr id="41" name="Straight Connector 104"/>
        <xdr:cNvSpPr>
          <a:spLocks/>
        </xdr:cNvSpPr>
      </xdr:nvSpPr>
      <xdr:spPr>
        <a:xfrm>
          <a:off x="3238500" y="19488150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118</xdr:row>
      <xdr:rowOff>114300</xdr:rowOff>
    </xdr:from>
    <xdr:to>
      <xdr:col>4</xdr:col>
      <xdr:colOff>314325</xdr:colOff>
      <xdr:row>118</xdr:row>
      <xdr:rowOff>114300</xdr:rowOff>
    </xdr:to>
    <xdr:sp>
      <xdr:nvSpPr>
        <xdr:cNvPr id="42" name="Straight Connector 105"/>
        <xdr:cNvSpPr>
          <a:spLocks/>
        </xdr:cNvSpPr>
      </xdr:nvSpPr>
      <xdr:spPr>
        <a:xfrm>
          <a:off x="3238500" y="196500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119</xdr:row>
      <xdr:rowOff>95250</xdr:rowOff>
    </xdr:from>
    <xdr:to>
      <xdr:col>4</xdr:col>
      <xdr:colOff>314325</xdr:colOff>
      <xdr:row>119</xdr:row>
      <xdr:rowOff>95250</xdr:rowOff>
    </xdr:to>
    <xdr:sp>
      <xdr:nvSpPr>
        <xdr:cNvPr id="43" name="Straight Connector 106"/>
        <xdr:cNvSpPr>
          <a:spLocks/>
        </xdr:cNvSpPr>
      </xdr:nvSpPr>
      <xdr:spPr>
        <a:xfrm>
          <a:off x="3238500" y="197929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116</xdr:row>
      <xdr:rowOff>85725</xdr:rowOff>
    </xdr:from>
    <xdr:to>
      <xdr:col>4</xdr:col>
      <xdr:colOff>323850</xdr:colOff>
      <xdr:row>116</xdr:row>
      <xdr:rowOff>85725</xdr:rowOff>
    </xdr:to>
    <xdr:sp>
      <xdr:nvSpPr>
        <xdr:cNvPr id="44" name="Straight Connector 107"/>
        <xdr:cNvSpPr>
          <a:spLocks/>
        </xdr:cNvSpPr>
      </xdr:nvSpPr>
      <xdr:spPr>
        <a:xfrm>
          <a:off x="3248025" y="192976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1009650</xdr:colOff>
      <xdr:row>123</xdr:row>
      <xdr:rowOff>123825</xdr:rowOff>
    </xdr:from>
    <xdr:to>
      <xdr:col>2</xdr:col>
      <xdr:colOff>1171575</xdr:colOff>
      <xdr:row>124</xdr:row>
      <xdr:rowOff>104775</xdr:rowOff>
    </xdr:to>
    <xdr:sp>
      <xdr:nvSpPr>
        <xdr:cNvPr id="45" name="Oval 108"/>
        <xdr:cNvSpPr>
          <a:spLocks/>
        </xdr:cNvSpPr>
      </xdr:nvSpPr>
      <xdr:spPr>
        <a:xfrm>
          <a:off x="2000250" y="20507325"/>
          <a:ext cx="161925" cy="2286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124</xdr:row>
      <xdr:rowOff>19050</xdr:rowOff>
    </xdr:from>
    <xdr:to>
      <xdr:col>4</xdr:col>
      <xdr:colOff>571500</xdr:colOff>
      <xdr:row>124</xdr:row>
      <xdr:rowOff>66675</xdr:rowOff>
    </xdr:to>
    <xdr:sp>
      <xdr:nvSpPr>
        <xdr:cNvPr id="46" name="Oval 60"/>
        <xdr:cNvSpPr>
          <a:spLocks/>
        </xdr:cNvSpPr>
      </xdr:nvSpPr>
      <xdr:spPr>
        <a:xfrm>
          <a:off x="3752850" y="20650200"/>
          <a:ext cx="476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124</xdr:row>
      <xdr:rowOff>19050</xdr:rowOff>
    </xdr:from>
    <xdr:to>
      <xdr:col>4</xdr:col>
      <xdr:colOff>942975</xdr:colOff>
      <xdr:row>124</xdr:row>
      <xdr:rowOff>66675</xdr:rowOff>
    </xdr:to>
    <xdr:sp>
      <xdr:nvSpPr>
        <xdr:cNvPr id="47" name="Oval 61"/>
        <xdr:cNvSpPr>
          <a:spLocks/>
        </xdr:cNvSpPr>
      </xdr:nvSpPr>
      <xdr:spPr>
        <a:xfrm>
          <a:off x="4124325" y="20650200"/>
          <a:ext cx="476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124</xdr:row>
      <xdr:rowOff>9525</xdr:rowOff>
    </xdr:from>
    <xdr:to>
      <xdr:col>3</xdr:col>
      <xdr:colOff>428625</xdr:colOff>
      <xdr:row>124</xdr:row>
      <xdr:rowOff>57150</xdr:rowOff>
    </xdr:to>
    <xdr:sp>
      <xdr:nvSpPr>
        <xdr:cNvPr id="48" name="Oval 71"/>
        <xdr:cNvSpPr>
          <a:spLocks/>
        </xdr:cNvSpPr>
      </xdr:nvSpPr>
      <xdr:spPr>
        <a:xfrm>
          <a:off x="2819400" y="20640675"/>
          <a:ext cx="47625" cy="476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124</xdr:row>
      <xdr:rowOff>19050</xdr:rowOff>
    </xdr:from>
    <xdr:to>
      <xdr:col>4</xdr:col>
      <xdr:colOff>161925</xdr:colOff>
      <xdr:row>124</xdr:row>
      <xdr:rowOff>57150</xdr:rowOff>
    </xdr:to>
    <xdr:sp>
      <xdr:nvSpPr>
        <xdr:cNvPr id="49" name="Oval 72"/>
        <xdr:cNvSpPr>
          <a:spLocks/>
        </xdr:cNvSpPr>
      </xdr:nvSpPr>
      <xdr:spPr>
        <a:xfrm>
          <a:off x="3343275" y="20650200"/>
          <a:ext cx="47625" cy="381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123</xdr:row>
      <xdr:rowOff>219075</xdr:rowOff>
    </xdr:from>
    <xdr:to>
      <xdr:col>6</xdr:col>
      <xdr:colOff>47625</xdr:colOff>
      <xdr:row>127</xdr:row>
      <xdr:rowOff>95250</xdr:rowOff>
    </xdr:to>
    <xdr:grpSp>
      <xdr:nvGrpSpPr>
        <xdr:cNvPr id="50" name="Group 87"/>
        <xdr:cNvGrpSpPr>
          <a:grpSpLocks/>
        </xdr:cNvGrpSpPr>
      </xdr:nvGrpSpPr>
      <xdr:grpSpPr>
        <a:xfrm>
          <a:off x="4619625" y="20602575"/>
          <a:ext cx="323850" cy="609600"/>
          <a:chOff x="4184430" y="20869603"/>
          <a:chExt cx="328449" cy="610914"/>
        </a:xfrm>
        <a:solidFill>
          <a:srgbClr val="FFFFFF"/>
        </a:solidFill>
      </xdr:grpSpPr>
      <xdr:sp>
        <xdr:nvSpPr>
          <xdr:cNvPr id="51" name="Straight Connector 74"/>
          <xdr:cNvSpPr>
            <a:spLocks/>
          </xdr:cNvSpPr>
        </xdr:nvSpPr>
        <xdr:spPr>
          <a:xfrm rot="16200000" flipH="1">
            <a:off x="4184430" y="20869603"/>
            <a:ext cx="9689" cy="6109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Straight Arrow Connector 78"/>
          <xdr:cNvSpPr>
            <a:spLocks/>
          </xdr:cNvSpPr>
        </xdr:nvSpPr>
        <xdr:spPr>
          <a:xfrm>
            <a:off x="4194119" y="21470895"/>
            <a:ext cx="31876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1095375</xdr:colOff>
      <xdr:row>124</xdr:row>
      <xdr:rowOff>95250</xdr:rowOff>
    </xdr:from>
    <xdr:to>
      <xdr:col>3</xdr:col>
      <xdr:colOff>104775</xdr:colOff>
      <xdr:row>127</xdr:row>
      <xdr:rowOff>76200</xdr:rowOff>
    </xdr:to>
    <xdr:grpSp>
      <xdr:nvGrpSpPr>
        <xdr:cNvPr id="53" name="Group 90"/>
        <xdr:cNvGrpSpPr>
          <a:grpSpLocks/>
        </xdr:cNvGrpSpPr>
      </xdr:nvGrpSpPr>
      <xdr:grpSpPr>
        <a:xfrm>
          <a:off x="2085975" y="20726400"/>
          <a:ext cx="457200" cy="466725"/>
          <a:chOff x="4184430" y="20869603"/>
          <a:chExt cx="328449" cy="610914"/>
        </a:xfrm>
        <a:solidFill>
          <a:srgbClr val="FFFFFF"/>
        </a:solidFill>
      </xdr:grpSpPr>
      <xdr:sp>
        <xdr:nvSpPr>
          <xdr:cNvPr id="54" name="Straight Connector 92"/>
          <xdr:cNvSpPr>
            <a:spLocks/>
          </xdr:cNvSpPr>
        </xdr:nvSpPr>
        <xdr:spPr>
          <a:xfrm rot="16200000" flipH="1">
            <a:off x="4184430" y="20869603"/>
            <a:ext cx="6815" cy="6109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Straight Arrow Connector 94"/>
          <xdr:cNvSpPr>
            <a:spLocks/>
          </xdr:cNvSpPr>
        </xdr:nvSpPr>
        <xdr:spPr>
          <a:xfrm>
            <a:off x="4191245" y="21467993"/>
            <a:ext cx="32163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5</xdr:row>
      <xdr:rowOff>76200</xdr:rowOff>
    </xdr:from>
    <xdr:to>
      <xdr:col>6</xdr:col>
      <xdr:colOff>657225</xdr:colOff>
      <xdr:row>21</xdr:row>
      <xdr:rowOff>9525</xdr:rowOff>
    </xdr:to>
    <xdr:grpSp>
      <xdr:nvGrpSpPr>
        <xdr:cNvPr id="1" name="Group 14"/>
        <xdr:cNvGrpSpPr>
          <a:grpSpLocks/>
        </xdr:cNvGrpSpPr>
      </xdr:nvGrpSpPr>
      <xdr:grpSpPr>
        <a:xfrm>
          <a:off x="3648075" y="923925"/>
          <a:ext cx="2838450" cy="2505075"/>
          <a:chOff x="3762823" y="835340"/>
          <a:chExt cx="2599501" cy="2454854"/>
        </a:xfrm>
        <a:solidFill>
          <a:srgbClr val="FFFFFF"/>
        </a:solidFill>
      </xdr:grpSpPr>
      <xdr:sp>
        <xdr:nvSpPr>
          <xdr:cNvPr id="3" name="Straight Connector 4"/>
          <xdr:cNvSpPr>
            <a:spLocks/>
          </xdr:cNvSpPr>
        </xdr:nvSpPr>
        <xdr:spPr>
          <a:xfrm>
            <a:off x="3771271" y="2141936"/>
            <a:ext cx="1273755" cy="653605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Straight Connector 6"/>
          <xdr:cNvSpPr>
            <a:spLocks/>
          </xdr:cNvSpPr>
        </xdr:nvSpPr>
        <xdr:spPr>
          <a:xfrm rot="5400000">
            <a:off x="4078012" y="1802552"/>
            <a:ext cx="1960024" cy="2639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Straight Connector 8"/>
          <xdr:cNvSpPr>
            <a:spLocks/>
          </xdr:cNvSpPr>
        </xdr:nvSpPr>
        <xdr:spPr>
          <a:xfrm flipV="1">
            <a:off x="5054125" y="2151142"/>
            <a:ext cx="1308199" cy="653605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6</xdr:row>
      <xdr:rowOff>9525</xdr:rowOff>
    </xdr:from>
    <xdr:to>
      <xdr:col>6</xdr:col>
      <xdr:colOff>533400</xdr:colOff>
      <xdr:row>24</xdr:row>
      <xdr:rowOff>0</xdr:rowOff>
    </xdr:to>
    <xdr:grpSp>
      <xdr:nvGrpSpPr>
        <xdr:cNvPr id="1" name="Group 14"/>
        <xdr:cNvGrpSpPr>
          <a:grpSpLocks/>
        </xdr:cNvGrpSpPr>
      </xdr:nvGrpSpPr>
      <xdr:grpSpPr>
        <a:xfrm>
          <a:off x="3495675" y="1019175"/>
          <a:ext cx="3114675" cy="2886075"/>
          <a:chOff x="3762823" y="835340"/>
          <a:chExt cx="2599501" cy="2454854"/>
        </a:xfrm>
        <a:solidFill>
          <a:srgbClr val="FFFFFF"/>
        </a:solidFill>
      </xdr:grpSpPr>
      <xdr:sp>
        <xdr:nvSpPr>
          <xdr:cNvPr id="3" name="Straight Connector 3"/>
          <xdr:cNvSpPr>
            <a:spLocks/>
          </xdr:cNvSpPr>
        </xdr:nvSpPr>
        <xdr:spPr>
          <a:xfrm>
            <a:off x="3770622" y="2139481"/>
            <a:ext cx="1271806" cy="65606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Straight Connector 4"/>
          <xdr:cNvSpPr>
            <a:spLocks/>
          </xdr:cNvSpPr>
        </xdr:nvSpPr>
        <xdr:spPr>
          <a:xfrm rot="5400000">
            <a:off x="4078012" y="1799484"/>
            <a:ext cx="1960674" cy="31913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Straight Connector 5"/>
          <xdr:cNvSpPr>
            <a:spLocks/>
          </xdr:cNvSpPr>
        </xdr:nvSpPr>
        <xdr:spPr>
          <a:xfrm flipV="1">
            <a:off x="5050876" y="2148073"/>
            <a:ext cx="1311448" cy="65606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457200</xdr:colOff>
      <xdr:row>4</xdr:row>
      <xdr:rowOff>38100</xdr:rowOff>
    </xdr:from>
    <xdr:to>
      <xdr:col>3</xdr:col>
      <xdr:colOff>457200</xdr:colOff>
      <xdr:row>5</xdr:row>
      <xdr:rowOff>95250</xdr:rowOff>
    </xdr:to>
    <xdr:sp>
      <xdr:nvSpPr>
        <xdr:cNvPr id="7" name="Line 15"/>
        <xdr:cNvSpPr>
          <a:spLocks/>
        </xdr:cNvSpPr>
      </xdr:nvSpPr>
      <xdr:spPr>
        <a:xfrm>
          <a:off x="3543300" y="723900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</xdr:row>
      <xdr:rowOff>47625</xdr:rowOff>
    </xdr:from>
    <xdr:to>
      <xdr:col>3</xdr:col>
      <xdr:colOff>619125</xdr:colOff>
      <xdr:row>5</xdr:row>
      <xdr:rowOff>104775</xdr:rowOff>
    </xdr:to>
    <xdr:sp>
      <xdr:nvSpPr>
        <xdr:cNvPr id="8" name="Line 17"/>
        <xdr:cNvSpPr>
          <a:spLocks/>
        </xdr:cNvSpPr>
      </xdr:nvSpPr>
      <xdr:spPr>
        <a:xfrm>
          <a:off x="3705225" y="733425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4</xdr:row>
      <xdr:rowOff>47625</xdr:rowOff>
    </xdr:from>
    <xdr:to>
      <xdr:col>3</xdr:col>
      <xdr:colOff>809625</xdr:colOff>
      <xdr:row>5</xdr:row>
      <xdr:rowOff>104775</xdr:rowOff>
    </xdr:to>
    <xdr:sp>
      <xdr:nvSpPr>
        <xdr:cNvPr id="9" name="Line 25"/>
        <xdr:cNvSpPr>
          <a:spLocks/>
        </xdr:cNvSpPr>
      </xdr:nvSpPr>
      <xdr:spPr>
        <a:xfrm>
          <a:off x="3895725" y="733425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</xdr:row>
      <xdr:rowOff>57150</xdr:rowOff>
    </xdr:from>
    <xdr:to>
      <xdr:col>4</xdr:col>
      <xdr:colOff>104775</xdr:colOff>
      <xdr:row>5</xdr:row>
      <xdr:rowOff>114300</xdr:rowOff>
    </xdr:to>
    <xdr:sp>
      <xdr:nvSpPr>
        <xdr:cNvPr id="10" name="Line 19"/>
        <xdr:cNvSpPr>
          <a:spLocks/>
        </xdr:cNvSpPr>
      </xdr:nvSpPr>
      <xdr:spPr>
        <a:xfrm>
          <a:off x="4076700" y="742950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47625</xdr:rowOff>
    </xdr:from>
    <xdr:to>
      <xdr:col>4</xdr:col>
      <xdr:colOff>238125</xdr:colOff>
      <xdr:row>5</xdr:row>
      <xdr:rowOff>104775</xdr:rowOff>
    </xdr:to>
    <xdr:sp>
      <xdr:nvSpPr>
        <xdr:cNvPr id="11" name="Line 15"/>
        <xdr:cNvSpPr>
          <a:spLocks/>
        </xdr:cNvSpPr>
      </xdr:nvSpPr>
      <xdr:spPr>
        <a:xfrm>
          <a:off x="4210050" y="733425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4</xdr:row>
      <xdr:rowOff>57150</xdr:rowOff>
    </xdr:from>
    <xdr:to>
      <xdr:col>4</xdr:col>
      <xdr:colOff>400050</xdr:colOff>
      <xdr:row>5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4371975" y="742950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4</xdr:row>
      <xdr:rowOff>57150</xdr:rowOff>
    </xdr:from>
    <xdr:to>
      <xdr:col>4</xdr:col>
      <xdr:colOff>590550</xdr:colOff>
      <xdr:row>5</xdr:row>
      <xdr:rowOff>114300</xdr:rowOff>
    </xdr:to>
    <xdr:sp>
      <xdr:nvSpPr>
        <xdr:cNvPr id="13" name="Line 25"/>
        <xdr:cNvSpPr>
          <a:spLocks/>
        </xdr:cNvSpPr>
      </xdr:nvSpPr>
      <xdr:spPr>
        <a:xfrm>
          <a:off x="4562475" y="742950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4</xdr:row>
      <xdr:rowOff>47625</xdr:rowOff>
    </xdr:from>
    <xdr:to>
      <xdr:col>4</xdr:col>
      <xdr:colOff>733425</xdr:colOff>
      <xdr:row>5</xdr:row>
      <xdr:rowOff>104775</xdr:rowOff>
    </xdr:to>
    <xdr:sp>
      <xdr:nvSpPr>
        <xdr:cNvPr id="14" name="Line 19"/>
        <xdr:cNvSpPr>
          <a:spLocks/>
        </xdr:cNvSpPr>
      </xdr:nvSpPr>
      <xdr:spPr>
        <a:xfrm>
          <a:off x="4705350" y="733425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4</xdr:row>
      <xdr:rowOff>47625</xdr:rowOff>
    </xdr:from>
    <xdr:to>
      <xdr:col>4</xdr:col>
      <xdr:colOff>895350</xdr:colOff>
      <xdr:row>5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4867275" y="733425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1057275</xdr:colOff>
      <xdr:row>4</xdr:row>
      <xdr:rowOff>57150</xdr:rowOff>
    </xdr:from>
    <xdr:to>
      <xdr:col>4</xdr:col>
      <xdr:colOff>1057275</xdr:colOff>
      <xdr:row>5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5029200" y="742950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4</xdr:row>
      <xdr:rowOff>57150</xdr:rowOff>
    </xdr:from>
    <xdr:to>
      <xdr:col>5</xdr:col>
      <xdr:colOff>152400</xdr:colOff>
      <xdr:row>5</xdr:row>
      <xdr:rowOff>114300</xdr:rowOff>
    </xdr:to>
    <xdr:sp>
      <xdr:nvSpPr>
        <xdr:cNvPr id="17" name="Line 25"/>
        <xdr:cNvSpPr>
          <a:spLocks/>
        </xdr:cNvSpPr>
      </xdr:nvSpPr>
      <xdr:spPr>
        <a:xfrm>
          <a:off x="5219700" y="742950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4</xdr:row>
      <xdr:rowOff>38100</xdr:rowOff>
    </xdr:from>
    <xdr:to>
      <xdr:col>5</xdr:col>
      <xdr:colOff>333375</xdr:colOff>
      <xdr:row>5</xdr:row>
      <xdr:rowOff>95250</xdr:rowOff>
    </xdr:to>
    <xdr:sp>
      <xdr:nvSpPr>
        <xdr:cNvPr id="18" name="Line 19"/>
        <xdr:cNvSpPr>
          <a:spLocks/>
        </xdr:cNvSpPr>
      </xdr:nvSpPr>
      <xdr:spPr>
        <a:xfrm>
          <a:off x="5400675" y="723900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4</xdr:row>
      <xdr:rowOff>38100</xdr:rowOff>
    </xdr:from>
    <xdr:to>
      <xdr:col>5</xdr:col>
      <xdr:colOff>495300</xdr:colOff>
      <xdr:row>5</xdr:row>
      <xdr:rowOff>95250</xdr:rowOff>
    </xdr:to>
    <xdr:sp>
      <xdr:nvSpPr>
        <xdr:cNvPr id="19" name="Line 15"/>
        <xdr:cNvSpPr>
          <a:spLocks/>
        </xdr:cNvSpPr>
      </xdr:nvSpPr>
      <xdr:spPr>
        <a:xfrm>
          <a:off x="5562600" y="723900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4</xdr:row>
      <xdr:rowOff>47625</xdr:rowOff>
    </xdr:from>
    <xdr:to>
      <xdr:col>5</xdr:col>
      <xdr:colOff>657225</xdr:colOff>
      <xdr:row>5</xdr:row>
      <xdr:rowOff>104775</xdr:rowOff>
    </xdr:to>
    <xdr:sp>
      <xdr:nvSpPr>
        <xdr:cNvPr id="20" name="Line 17"/>
        <xdr:cNvSpPr>
          <a:spLocks/>
        </xdr:cNvSpPr>
      </xdr:nvSpPr>
      <xdr:spPr>
        <a:xfrm>
          <a:off x="5724525" y="733425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828675</xdr:colOff>
      <xdr:row>4</xdr:row>
      <xdr:rowOff>38100</xdr:rowOff>
    </xdr:from>
    <xdr:to>
      <xdr:col>5</xdr:col>
      <xdr:colOff>828675</xdr:colOff>
      <xdr:row>5</xdr:row>
      <xdr:rowOff>95250</xdr:rowOff>
    </xdr:to>
    <xdr:sp>
      <xdr:nvSpPr>
        <xdr:cNvPr id="21" name="Line 25"/>
        <xdr:cNvSpPr>
          <a:spLocks/>
        </xdr:cNvSpPr>
      </xdr:nvSpPr>
      <xdr:spPr>
        <a:xfrm>
          <a:off x="5895975" y="723900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4</xdr:row>
      <xdr:rowOff>47625</xdr:rowOff>
    </xdr:from>
    <xdr:to>
      <xdr:col>5</xdr:col>
      <xdr:colOff>1000125</xdr:colOff>
      <xdr:row>5</xdr:row>
      <xdr:rowOff>104775</xdr:rowOff>
    </xdr:to>
    <xdr:sp>
      <xdr:nvSpPr>
        <xdr:cNvPr id="22" name="Line 19"/>
        <xdr:cNvSpPr>
          <a:spLocks/>
        </xdr:cNvSpPr>
      </xdr:nvSpPr>
      <xdr:spPr>
        <a:xfrm>
          <a:off x="6067425" y="733425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4</xdr:row>
      <xdr:rowOff>38100</xdr:rowOff>
    </xdr:from>
    <xdr:to>
      <xdr:col>6</xdr:col>
      <xdr:colOff>228600</xdr:colOff>
      <xdr:row>5</xdr:row>
      <xdr:rowOff>95250</xdr:rowOff>
    </xdr:to>
    <xdr:sp>
      <xdr:nvSpPr>
        <xdr:cNvPr id="23" name="Line 17"/>
        <xdr:cNvSpPr>
          <a:spLocks/>
        </xdr:cNvSpPr>
      </xdr:nvSpPr>
      <xdr:spPr>
        <a:xfrm>
          <a:off x="6305550" y="723900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4</xdr:row>
      <xdr:rowOff>28575</xdr:rowOff>
    </xdr:from>
    <xdr:to>
      <xdr:col>6</xdr:col>
      <xdr:colOff>428625</xdr:colOff>
      <xdr:row>5</xdr:row>
      <xdr:rowOff>85725</xdr:rowOff>
    </xdr:to>
    <xdr:sp>
      <xdr:nvSpPr>
        <xdr:cNvPr id="24" name="Line 25"/>
        <xdr:cNvSpPr>
          <a:spLocks/>
        </xdr:cNvSpPr>
      </xdr:nvSpPr>
      <xdr:spPr>
        <a:xfrm>
          <a:off x="6505575" y="714375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4</xdr:row>
      <xdr:rowOff>38100</xdr:rowOff>
    </xdr:from>
    <xdr:to>
      <xdr:col>6</xdr:col>
      <xdr:colOff>657225</xdr:colOff>
      <xdr:row>5</xdr:row>
      <xdr:rowOff>95250</xdr:rowOff>
    </xdr:to>
    <xdr:sp>
      <xdr:nvSpPr>
        <xdr:cNvPr id="25" name="Line 19"/>
        <xdr:cNvSpPr>
          <a:spLocks/>
        </xdr:cNvSpPr>
      </xdr:nvSpPr>
      <xdr:spPr>
        <a:xfrm>
          <a:off x="6734175" y="723900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4</xdr:row>
      <xdr:rowOff>38100</xdr:rowOff>
    </xdr:from>
    <xdr:to>
      <xdr:col>6</xdr:col>
      <xdr:colOff>657225</xdr:colOff>
      <xdr:row>4</xdr:row>
      <xdr:rowOff>38100</xdr:rowOff>
    </xdr:to>
    <xdr:sp>
      <xdr:nvSpPr>
        <xdr:cNvPr id="26" name="Straight Connector 28"/>
        <xdr:cNvSpPr>
          <a:spLocks/>
        </xdr:cNvSpPr>
      </xdr:nvSpPr>
      <xdr:spPr>
        <a:xfrm rot="16200000" flipH="1">
          <a:off x="3543300" y="723900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21</xdr:row>
      <xdr:rowOff>9525</xdr:rowOff>
    </xdr:from>
    <xdr:to>
      <xdr:col>8</xdr:col>
      <xdr:colOff>38100</xdr:colOff>
      <xdr:row>24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448050"/>
          <a:ext cx="4829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1409700</xdr:colOff>
      <xdr:row>139</xdr:row>
      <xdr:rowOff>142875</xdr:rowOff>
    </xdr:from>
    <xdr:to>
      <xdr:col>6</xdr:col>
      <xdr:colOff>390525</xdr:colOff>
      <xdr:row>140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86300" y="24507825"/>
          <a:ext cx="495300" cy="1619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FILL</a:t>
          </a:r>
        </a:p>
      </xdr:txBody>
    </xdr:sp>
    <xdr:clientData/>
  </xdr:twoCellAnchor>
  <xdr:twoCellAnchor>
    <xdr:from>
      <xdr:col>5</xdr:col>
      <xdr:colOff>495300</xdr:colOff>
      <xdr:row>132</xdr:row>
      <xdr:rowOff>85725</xdr:rowOff>
    </xdr:from>
    <xdr:to>
      <xdr:col>6</xdr:col>
      <xdr:colOff>981075</xdr:colOff>
      <xdr:row>148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3771900" y="23317200"/>
          <a:ext cx="2000250" cy="2676525"/>
          <a:chOff x="3258553" y="23211473"/>
          <a:chExt cx="2440906" cy="3359068"/>
        </a:xfrm>
        <a:solidFill>
          <a:srgbClr val="FFFFFF"/>
        </a:solidFill>
      </xdr:grpSpPr>
      <xdr:grpSp>
        <xdr:nvGrpSpPr>
          <xdr:cNvPr id="3" name="Group 80"/>
          <xdr:cNvGrpSpPr>
            <a:grpSpLocks/>
          </xdr:cNvGrpSpPr>
        </xdr:nvGrpSpPr>
        <xdr:grpSpPr>
          <a:xfrm>
            <a:off x="3258553" y="23211473"/>
            <a:ext cx="2440906" cy="3359068"/>
            <a:chOff x="3257248" y="23320820"/>
            <a:chExt cx="2443467" cy="3328086"/>
          </a:xfrm>
          <a:solidFill>
            <a:srgbClr val="FFFFFF"/>
          </a:solidFill>
        </xdr:grpSpPr>
        <xdr:grpSp>
          <xdr:nvGrpSpPr>
            <xdr:cNvPr id="4" name="Group 79"/>
            <xdr:cNvGrpSpPr>
              <a:grpSpLocks/>
            </xdr:cNvGrpSpPr>
          </xdr:nvGrpSpPr>
          <xdr:grpSpPr>
            <a:xfrm>
              <a:off x="3257248" y="26246208"/>
              <a:ext cx="1931561" cy="402698"/>
              <a:chOff x="3257248" y="26246220"/>
              <a:chExt cx="1931502" cy="402686"/>
            </a:xfrm>
            <a:solidFill>
              <a:srgbClr val="FFFFFF"/>
            </a:solidFill>
          </xdr:grpSpPr>
          <xdr:sp>
            <xdr:nvSpPr>
              <xdr:cNvPr id="5" name="Straight Connector 12"/>
              <xdr:cNvSpPr>
                <a:spLocks/>
              </xdr:cNvSpPr>
            </xdr:nvSpPr>
            <xdr:spPr>
              <a:xfrm rot="5400000" flipH="1" flipV="1">
                <a:off x="3103695" y="26400147"/>
                <a:ext cx="30807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Straight Connector 33"/>
              <xdr:cNvSpPr>
                <a:spLocks/>
              </xdr:cNvSpPr>
            </xdr:nvSpPr>
            <xdr:spPr>
              <a:xfrm>
                <a:off x="3268837" y="26648906"/>
                <a:ext cx="19199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7" name="Group 75"/>
            <xdr:cNvGrpSpPr>
              <a:grpSpLocks/>
            </xdr:cNvGrpSpPr>
          </xdr:nvGrpSpPr>
          <xdr:grpSpPr>
            <a:xfrm>
              <a:off x="3712344" y="23320820"/>
              <a:ext cx="1988371" cy="503373"/>
              <a:chOff x="3705225" y="23317200"/>
              <a:chExt cx="1990725" cy="504825"/>
            </a:xfrm>
            <a:solidFill>
              <a:srgbClr val="FFFFFF"/>
            </a:solidFill>
          </xdr:grpSpPr>
          <xdr:sp>
            <xdr:nvSpPr>
              <xdr:cNvPr id="8" name="Straight Connector 15"/>
              <xdr:cNvSpPr>
                <a:spLocks/>
              </xdr:cNvSpPr>
            </xdr:nvSpPr>
            <xdr:spPr>
              <a:xfrm flipV="1">
                <a:off x="3705225" y="23329063"/>
                <a:ext cx="1828979" cy="39174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Straight Connector 16"/>
              <xdr:cNvSpPr>
                <a:spLocks/>
              </xdr:cNvSpPr>
            </xdr:nvSpPr>
            <xdr:spPr>
              <a:xfrm>
                <a:off x="4356192" y="23590310"/>
                <a:ext cx="163239" cy="11876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Straight Connector 17"/>
              <xdr:cNvSpPr>
                <a:spLocks/>
              </xdr:cNvSpPr>
            </xdr:nvSpPr>
            <xdr:spPr>
              <a:xfrm>
                <a:off x="5392862" y="23364654"/>
                <a:ext cx="163239" cy="13062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" name="Straight Connector 18"/>
              <xdr:cNvSpPr>
                <a:spLocks/>
              </xdr:cNvSpPr>
            </xdr:nvSpPr>
            <xdr:spPr>
              <a:xfrm>
                <a:off x="3832134" y="23697081"/>
                <a:ext cx="163239" cy="13062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Straight Connector 19"/>
              <xdr:cNvSpPr>
                <a:spLocks/>
              </xdr:cNvSpPr>
            </xdr:nvSpPr>
            <xdr:spPr>
              <a:xfrm>
                <a:off x="4065049" y="23637764"/>
                <a:ext cx="163239" cy="11876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Straight Connector 20"/>
              <xdr:cNvSpPr>
                <a:spLocks/>
              </xdr:cNvSpPr>
            </xdr:nvSpPr>
            <xdr:spPr>
              <a:xfrm>
                <a:off x="4635889" y="23530867"/>
                <a:ext cx="163239" cy="11876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Straight Connector 21"/>
              <xdr:cNvSpPr>
                <a:spLocks/>
              </xdr:cNvSpPr>
            </xdr:nvSpPr>
            <xdr:spPr>
              <a:xfrm>
                <a:off x="4938977" y="23459687"/>
                <a:ext cx="163239" cy="13062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Straight Connector 22"/>
              <xdr:cNvSpPr>
                <a:spLocks/>
              </xdr:cNvSpPr>
            </xdr:nvSpPr>
            <xdr:spPr>
              <a:xfrm>
                <a:off x="5253511" y="23388380"/>
                <a:ext cx="151295" cy="13062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Straight Connector 23"/>
              <xdr:cNvSpPr>
                <a:spLocks/>
              </xdr:cNvSpPr>
            </xdr:nvSpPr>
            <xdr:spPr>
              <a:xfrm>
                <a:off x="5532711" y="23317200"/>
                <a:ext cx="163239" cy="13062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" name="Straight Connector 24"/>
              <xdr:cNvSpPr>
                <a:spLocks/>
              </xdr:cNvSpPr>
            </xdr:nvSpPr>
            <xdr:spPr>
              <a:xfrm>
                <a:off x="4484594" y="23554594"/>
                <a:ext cx="163239" cy="13062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" name="Straight Connector 25"/>
              <xdr:cNvSpPr>
                <a:spLocks/>
              </xdr:cNvSpPr>
            </xdr:nvSpPr>
            <xdr:spPr>
              <a:xfrm>
                <a:off x="3960038" y="23673354"/>
                <a:ext cx="163239" cy="13062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" name="Straight Connector 26"/>
              <xdr:cNvSpPr>
                <a:spLocks/>
              </xdr:cNvSpPr>
            </xdr:nvSpPr>
            <xdr:spPr>
              <a:xfrm>
                <a:off x="4192953" y="23602174"/>
                <a:ext cx="163239" cy="13062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" name="Straight Connector 27"/>
              <xdr:cNvSpPr>
                <a:spLocks/>
              </xdr:cNvSpPr>
            </xdr:nvSpPr>
            <xdr:spPr>
              <a:xfrm>
                <a:off x="4763793" y="23495277"/>
                <a:ext cx="163239" cy="13062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" name="Straight Connector 28"/>
              <xdr:cNvSpPr>
                <a:spLocks/>
              </xdr:cNvSpPr>
            </xdr:nvSpPr>
            <xdr:spPr>
              <a:xfrm>
                <a:off x="5090272" y="23424097"/>
                <a:ext cx="163239" cy="11876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22" name="Group 173"/>
          <xdr:cNvGrpSpPr>
            <a:grpSpLocks/>
          </xdr:cNvGrpSpPr>
        </xdr:nvGrpSpPr>
        <xdr:grpSpPr>
          <a:xfrm>
            <a:off x="3258553" y="23606163"/>
            <a:ext cx="1975913" cy="2964378"/>
            <a:chOff x="3258553" y="23605953"/>
            <a:chExt cx="1975972" cy="2964588"/>
          </a:xfrm>
          <a:solidFill>
            <a:srgbClr val="FFFFFF"/>
          </a:solidFill>
        </xdr:grpSpPr>
        <xdr:sp>
          <xdr:nvSpPr>
            <xdr:cNvPr id="23" name="Straight Connector 5"/>
            <xdr:cNvSpPr>
              <a:spLocks/>
            </xdr:cNvSpPr>
          </xdr:nvSpPr>
          <xdr:spPr>
            <a:xfrm rot="10800000">
              <a:off x="3258553" y="23605953"/>
              <a:ext cx="441630" cy="1185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Straight Connector 6"/>
            <xdr:cNvSpPr>
              <a:spLocks/>
            </xdr:cNvSpPr>
          </xdr:nvSpPr>
          <xdr:spPr>
            <a:xfrm rot="5400000">
              <a:off x="1782503" y="25082318"/>
              <a:ext cx="2964452" cy="1185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Straight Connector 7"/>
            <xdr:cNvSpPr>
              <a:spLocks/>
            </xdr:cNvSpPr>
          </xdr:nvSpPr>
          <xdr:spPr>
            <a:xfrm rot="5400000">
              <a:off x="2451369" y="24854786"/>
              <a:ext cx="249861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Straight Connector 8"/>
            <xdr:cNvSpPr>
              <a:spLocks/>
            </xdr:cNvSpPr>
          </xdr:nvSpPr>
          <xdr:spPr>
            <a:xfrm>
              <a:off x="3700183" y="26104360"/>
              <a:ext cx="153434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Straight Connector 9"/>
            <xdr:cNvSpPr>
              <a:spLocks/>
            </xdr:cNvSpPr>
          </xdr:nvSpPr>
          <xdr:spPr>
            <a:xfrm rot="5400000">
              <a:off x="4995432" y="26331151"/>
              <a:ext cx="4781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781050</xdr:colOff>
      <xdr:row>143</xdr:row>
      <xdr:rowOff>123825</xdr:rowOff>
    </xdr:from>
    <xdr:to>
      <xdr:col>5</xdr:col>
      <xdr:colOff>504825</xdr:colOff>
      <xdr:row>146</xdr:row>
      <xdr:rowOff>9525</xdr:rowOff>
    </xdr:to>
    <xdr:grpSp>
      <xdr:nvGrpSpPr>
        <xdr:cNvPr id="28" name="Group 85"/>
        <xdr:cNvGrpSpPr>
          <a:grpSpLocks/>
        </xdr:cNvGrpSpPr>
      </xdr:nvGrpSpPr>
      <xdr:grpSpPr>
        <a:xfrm rot="20893996" flipH="1">
          <a:off x="2124075" y="25136475"/>
          <a:ext cx="1657350" cy="400050"/>
          <a:chOff x="2521464" y="23648323"/>
          <a:chExt cx="1640984" cy="405147"/>
        </a:xfrm>
        <a:solidFill>
          <a:srgbClr val="FFFFFF"/>
        </a:solidFill>
      </xdr:grpSpPr>
      <xdr:sp>
        <xdr:nvSpPr>
          <xdr:cNvPr id="29" name="Straight Connector 86"/>
          <xdr:cNvSpPr>
            <a:spLocks/>
          </xdr:cNvSpPr>
        </xdr:nvSpPr>
        <xdr:spPr>
          <a:xfrm flipV="1">
            <a:off x="2639205" y="23429443"/>
            <a:ext cx="1499449" cy="3087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Straight Connector 87"/>
          <xdr:cNvSpPr>
            <a:spLocks/>
          </xdr:cNvSpPr>
        </xdr:nvSpPr>
        <xdr:spPr>
          <a:xfrm>
            <a:off x="3125756" y="23774526"/>
            <a:ext cx="132099" cy="964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Straight Connector 88"/>
          <xdr:cNvSpPr>
            <a:spLocks/>
          </xdr:cNvSpPr>
        </xdr:nvSpPr>
        <xdr:spPr>
          <a:xfrm>
            <a:off x="3916711" y="23684786"/>
            <a:ext cx="132099" cy="964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Straight Connector 89"/>
          <xdr:cNvSpPr>
            <a:spLocks/>
          </xdr:cNvSpPr>
        </xdr:nvSpPr>
        <xdr:spPr>
          <a:xfrm>
            <a:off x="2705254" y="23933040"/>
            <a:ext cx="132099" cy="964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Straight Connector 90"/>
          <xdr:cNvSpPr>
            <a:spLocks/>
          </xdr:cNvSpPr>
        </xdr:nvSpPr>
        <xdr:spPr>
          <a:xfrm>
            <a:off x="2813969" y="23899008"/>
            <a:ext cx="141535" cy="964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Straight Connector 91"/>
          <xdr:cNvSpPr>
            <a:spLocks/>
          </xdr:cNvSpPr>
        </xdr:nvSpPr>
        <xdr:spPr>
          <a:xfrm>
            <a:off x="3287804" y="23809065"/>
            <a:ext cx="132099" cy="1061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Straight Connector 92"/>
          <xdr:cNvSpPr>
            <a:spLocks/>
          </xdr:cNvSpPr>
        </xdr:nvSpPr>
        <xdr:spPr>
          <a:xfrm>
            <a:off x="3701331" y="23573169"/>
            <a:ext cx="132099" cy="964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Straight Connector 93"/>
          <xdr:cNvSpPr>
            <a:spLocks/>
          </xdr:cNvSpPr>
        </xdr:nvSpPr>
        <xdr:spPr>
          <a:xfrm>
            <a:off x="3786252" y="23702815"/>
            <a:ext cx="132099" cy="1061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Straight Connector 94"/>
          <xdr:cNvSpPr>
            <a:spLocks/>
          </xdr:cNvSpPr>
        </xdr:nvSpPr>
        <xdr:spPr>
          <a:xfrm>
            <a:off x="4030349" y="23581880"/>
            <a:ext cx="132099" cy="964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Straight Connector 95"/>
          <xdr:cNvSpPr>
            <a:spLocks/>
          </xdr:cNvSpPr>
        </xdr:nvSpPr>
        <xdr:spPr>
          <a:xfrm>
            <a:off x="3300521" y="23638904"/>
            <a:ext cx="132099" cy="964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Straight Connector 96"/>
          <xdr:cNvSpPr>
            <a:spLocks/>
          </xdr:cNvSpPr>
        </xdr:nvSpPr>
        <xdr:spPr>
          <a:xfrm>
            <a:off x="2750381" y="23913694"/>
            <a:ext cx="132099" cy="1061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Straight Connector 97"/>
          <xdr:cNvSpPr>
            <a:spLocks/>
          </xdr:cNvSpPr>
        </xdr:nvSpPr>
        <xdr:spPr>
          <a:xfrm>
            <a:off x="3093757" y="23712336"/>
            <a:ext cx="132099" cy="964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Straight Connector 98"/>
          <xdr:cNvSpPr>
            <a:spLocks/>
          </xdr:cNvSpPr>
        </xdr:nvSpPr>
        <xdr:spPr>
          <a:xfrm>
            <a:off x="3487183" y="23658047"/>
            <a:ext cx="132099" cy="964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Straight Connector 99"/>
          <xdr:cNvSpPr>
            <a:spLocks/>
          </xdr:cNvSpPr>
        </xdr:nvSpPr>
        <xdr:spPr>
          <a:xfrm>
            <a:off x="3810047" y="23540150"/>
            <a:ext cx="132099" cy="964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1466850</xdr:colOff>
      <xdr:row>155</xdr:row>
      <xdr:rowOff>85725</xdr:rowOff>
    </xdr:from>
    <xdr:to>
      <xdr:col>7</xdr:col>
      <xdr:colOff>314325</xdr:colOff>
      <xdr:row>156</xdr:row>
      <xdr:rowOff>85725</xdr:rowOff>
    </xdr:to>
    <xdr:sp>
      <xdr:nvSpPr>
        <xdr:cNvPr id="1" name="TextBox 60"/>
        <xdr:cNvSpPr txBox="1">
          <a:spLocks noChangeArrowheads="1"/>
        </xdr:cNvSpPr>
      </xdr:nvSpPr>
      <xdr:spPr>
        <a:xfrm>
          <a:off x="6267450" y="27308175"/>
          <a:ext cx="838200" cy="1619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FILL</a:t>
          </a:r>
        </a:p>
      </xdr:txBody>
    </xdr:sp>
    <xdr:clientData/>
  </xdr:twoCellAnchor>
  <xdr:twoCellAnchor>
    <xdr:from>
      <xdr:col>5</xdr:col>
      <xdr:colOff>838200</xdr:colOff>
      <xdr:row>149</xdr:row>
      <xdr:rowOff>76200</xdr:rowOff>
    </xdr:from>
    <xdr:to>
      <xdr:col>6</xdr:col>
      <xdr:colOff>942975</xdr:colOff>
      <xdr:row>163</xdr:row>
      <xdr:rowOff>0</xdr:rowOff>
    </xdr:to>
    <xdr:grpSp>
      <xdr:nvGrpSpPr>
        <xdr:cNvPr id="2" name="Group 178"/>
        <xdr:cNvGrpSpPr>
          <a:grpSpLocks/>
        </xdr:cNvGrpSpPr>
      </xdr:nvGrpSpPr>
      <xdr:grpSpPr>
        <a:xfrm>
          <a:off x="4124325" y="26327100"/>
          <a:ext cx="1619250" cy="2362200"/>
          <a:chOff x="4099248" y="23808842"/>
          <a:chExt cx="1617113" cy="2382983"/>
        </a:xfrm>
        <a:solidFill>
          <a:srgbClr val="FFFFFF"/>
        </a:solidFill>
      </xdr:grpSpPr>
      <xdr:grpSp>
        <xdr:nvGrpSpPr>
          <xdr:cNvPr id="3" name="Group 77"/>
          <xdr:cNvGrpSpPr>
            <a:grpSpLocks/>
          </xdr:cNvGrpSpPr>
        </xdr:nvGrpSpPr>
        <xdr:grpSpPr>
          <a:xfrm flipH="1">
            <a:off x="4346666" y="25855824"/>
            <a:ext cx="884561" cy="0"/>
            <a:chOff x="4346569" y="25855536"/>
            <a:chExt cx="884655" cy="0"/>
          </a:xfrm>
          <a:solidFill>
            <a:srgbClr val="FFFFFF"/>
          </a:solidFill>
        </xdr:grpSpPr>
        <xdr:sp>
          <xdr:nvSpPr>
            <xdr:cNvPr id="4" name="Oval 38"/>
            <xdr:cNvSpPr>
              <a:spLocks/>
            </xdr:cNvSpPr>
          </xdr:nvSpPr>
          <xdr:spPr>
            <a:xfrm>
              <a:off x="4346569" y="25855536"/>
              <a:ext cx="47550" cy="0"/>
            </a:xfrm>
            <a:prstGeom prst="ellipse">
              <a:avLst/>
            </a:prstGeom>
            <a:solidFill>
              <a:srgbClr val="FFFFFF"/>
            </a:solidFill>
            <a:ln w="2540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Oval 39"/>
            <xdr:cNvSpPr>
              <a:spLocks/>
            </xdr:cNvSpPr>
          </xdr:nvSpPr>
          <xdr:spPr>
            <a:xfrm>
              <a:off x="4346569" y="25855536"/>
              <a:ext cx="47550" cy="0"/>
            </a:xfrm>
            <a:prstGeom prst="ellipse">
              <a:avLst/>
            </a:prstGeom>
            <a:solidFill>
              <a:srgbClr val="FFFFFF"/>
            </a:solidFill>
            <a:ln w="2540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40"/>
            <xdr:cNvSpPr>
              <a:spLocks/>
            </xdr:cNvSpPr>
          </xdr:nvSpPr>
          <xdr:spPr>
            <a:xfrm>
              <a:off x="4612850" y="25855536"/>
              <a:ext cx="47550" cy="0"/>
            </a:xfrm>
            <a:prstGeom prst="ellipse">
              <a:avLst/>
            </a:prstGeom>
            <a:solidFill>
              <a:srgbClr val="FFFFFF"/>
            </a:solidFill>
            <a:ln w="2540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41"/>
            <xdr:cNvSpPr>
              <a:spLocks/>
            </xdr:cNvSpPr>
          </xdr:nvSpPr>
          <xdr:spPr>
            <a:xfrm>
              <a:off x="4346569" y="25855536"/>
              <a:ext cx="38040" cy="0"/>
            </a:xfrm>
            <a:prstGeom prst="ellipse">
              <a:avLst/>
            </a:prstGeom>
            <a:solidFill>
              <a:srgbClr val="FFFFFF"/>
            </a:solidFill>
            <a:ln w="2540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3"/>
            <xdr:cNvSpPr>
              <a:spLocks/>
            </xdr:cNvSpPr>
          </xdr:nvSpPr>
          <xdr:spPr>
            <a:xfrm>
              <a:off x="4879352" y="25855536"/>
              <a:ext cx="47550" cy="0"/>
            </a:xfrm>
            <a:prstGeom prst="ellipse">
              <a:avLst/>
            </a:prstGeom>
            <a:solidFill>
              <a:srgbClr val="FFFFFF"/>
            </a:solidFill>
            <a:ln w="2540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" name="Group 173"/>
          <xdr:cNvGrpSpPr>
            <a:grpSpLocks/>
          </xdr:cNvGrpSpPr>
        </xdr:nvGrpSpPr>
        <xdr:grpSpPr>
          <a:xfrm flipH="1">
            <a:off x="4099248" y="23808842"/>
            <a:ext cx="1617113" cy="2382983"/>
            <a:chOff x="3258553" y="23601199"/>
            <a:chExt cx="1970579" cy="2969332"/>
          </a:xfrm>
          <a:solidFill>
            <a:srgbClr val="FFFFFF"/>
          </a:solidFill>
        </xdr:grpSpPr>
        <xdr:sp>
          <xdr:nvSpPr>
            <xdr:cNvPr id="10" name="Straight Connector 158"/>
            <xdr:cNvSpPr>
              <a:spLocks/>
            </xdr:cNvSpPr>
          </xdr:nvSpPr>
          <xdr:spPr>
            <a:xfrm rot="10800000">
              <a:off x="3258553" y="23601199"/>
              <a:ext cx="440424" cy="1187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Straight Connector 160"/>
            <xdr:cNvSpPr>
              <a:spLocks/>
            </xdr:cNvSpPr>
          </xdr:nvSpPr>
          <xdr:spPr>
            <a:xfrm rot="5400000">
              <a:off x="1780127" y="25079926"/>
              <a:ext cx="2969170" cy="1187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Straight Connector 162"/>
            <xdr:cNvSpPr>
              <a:spLocks/>
            </xdr:cNvSpPr>
          </xdr:nvSpPr>
          <xdr:spPr>
            <a:xfrm rot="5400000">
              <a:off x="2448153" y="24852030"/>
              <a:ext cx="250214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Straight Connector 164"/>
            <xdr:cNvSpPr>
              <a:spLocks/>
            </xdr:cNvSpPr>
          </xdr:nvSpPr>
          <xdr:spPr>
            <a:xfrm>
              <a:off x="3698977" y="26103604"/>
              <a:ext cx="153015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Straight Connector 166"/>
            <xdr:cNvSpPr>
              <a:spLocks/>
            </xdr:cNvSpPr>
          </xdr:nvSpPr>
          <xdr:spPr>
            <a:xfrm rot="5400000">
              <a:off x="4989707" y="26330757"/>
              <a:ext cx="47885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Straight Connector 168"/>
            <xdr:cNvSpPr>
              <a:spLocks/>
            </xdr:cNvSpPr>
          </xdr:nvSpPr>
          <xdr:spPr>
            <a:xfrm rot="10800000">
              <a:off x="3258553" y="26558654"/>
              <a:ext cx="1970579" cy="1187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942975</xdr:colOff>
      <xdr:row>147</xdr:row>
      <xdr:rowOff>85725</xdr:rowOff>
    </xdr:from>
    <xdr:to>
      <xdr:col>7</xdr:col>
      <xdr:colOff>923925</xdr:colOff>
      <xdr:row>149</xdr:row>
      <xdr:rowOff>161925</xdr:rowOff>
    </xdr:to>
    <xdr:grpSp>
      <xdr:nvGrpSpPr>
        <xdr:cNvPr id="16" name="Group 262"/>
        <xdr:cNvGrpSpPr>
          <a:grpSpLocks/>
        </xdr:cNvGrpSpPr>
      </xdr:nvGrpSpPr>
      <xdr:grpSpPr>
        <a:xfrm>
          <a:off x="5743575" y="26012775"/>
          <a:ext cx="1971675" cy="400050"/>
          <a:chOff x="2521464" y="23648323"/>
          <a:chExt cx="1631349" cy="405147"/>
        </a:xfrm>
        <a:solidFill>
          <a:srgbClr val="FFFFFF"/>
        </a:solidFill>
      </xdr:grpSpPr>
      <xdr:sp>
        <xdr:nvSpPr>
          <xdr:cNvPr id="17" name="Straight Connector 192"/>
          <xdr:cNvSpPr>
            <a:spLocks/>
          </xdr:cNvSpPr>
        </xdr:nvSpPr>
        <xdr:spPr>
          <a:xfrm flipV="1">
            <a:off x="2521464" y="23657945"/>
            <a:ext cx="1497171" cy="3087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Straight Connector 193"/>
          <xdr:cNvSpPr>
            <a:spLocks/>
          </xdr:cNvSpPr>
        </xdr:nvSpPr>
        <xdr:spPr>
          <a:xfrm>
            <a:off x="3057362" y="23860519"/>
            <a:ext cx="134178" cy="964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Straight Connector 194"/>
          <xdr:cNvSpPr>
            <a:spLocks/>
          </xdr:cNvSpPr>
        </xdr:nvSpPr>
        <xdr:spPr>
          <a:xfrm>
            <a:off x="3908518" y="23686913"/>
            <a:ext cx="126022" cy="964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Straight Connector 195"/>
          <xdr:cNvSpPr>
            <a:spLocks/>
          </xdr:cNvSpPr>
        </xdr:nvSpPr>
        <xdr:spPr>
          <a:xfrm>
            <a:off x="2623831" y="23957045"/>
            <a:ext cx="134178" cy="964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Straight Connector 196"/>
          <xdr:cNvSpPr>
            <a:spLocks/>
          </xdr:cNvSpPr>
        </xdr:nvSpPr>
        <xdr:spPr>
          <a:xfrm>
            <a:off x="2820817" y="23899109"/>
            <a:ext cx="126022" cy="964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Straight Connector 197"/>
          <xdr:cNvSpPr>
            <a:spLocks/>
          </xdr:cNvSpPr>
        </xdr:nvSpPr>
        <xdr:spPr>
          <a:xfrm>
            <a:off x="3285751" y="23812306"/>
            <a:ext cx="134178" cy="1061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Straight Connector 198"/>
          <xdr:cNvSpPr>
            <a:spLocks/>
          </xdr:cNvSpPr>
        </xdr:nvSpPr>
        <xdr:spPr>
          <a:xfrm>
            <a:off x="3530046" y="23764094"/>
            <a:ext cx="134178" cy="964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Straight Connector 199"/>
          <xdr:cNvSpPr>
            <a:spLocks/>
          </xdr:cNvSpPr>
        </xdr:nvSpPr>
        <xdr:spPr>
          <a:xfrm>
            <a:off x="3790246" y="23706158"/>
            <a:ext cx="126022" cy="1061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Straight Connector 200"/>
          <xdr:cNvSpPr>
            <a:spLocks/>
          </xdr:cNvSpPr>
        </xdr:nvSpPr>
        <xdr:spPr>
          <a:xfrm>
            <a:off x="4018635" y="23648323"/>
            <a:ext cx="134178" cy="964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Straight Connector 201"/>
          <xdr:cNvSpPr>
            <a:spLocks/>
          </xdr:cNvSpPr>
        </xdr:nvSpPr>
        <xdr:spPr>
          <a:xfrm>
            <a:off x="3159729" y="23841274"/>
            <a:ext cx="134178" cy="964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Straight Connector 202"/>
          <xdr:cNvSpPr>
            <a:spLocks/>
          </xdr:cNvSpPr>
        </xdr:nvSpPr>
        <xdr:spPr>
          <a:xfrm>
            <a:off x="2734355" y="23928077"/>
            <a:ext cx="134178" cy="1061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Straight Connector 203"/>
          <xdr:cNvSpPr>
            <a:spLocks/>
          </xdr:cNvSpPr>
        </xdr:nvSpPr>
        <xdr:spPr>
          <a:xfrm>
            <a:off x="2923592" y="23879865"/>
            <a:ext cx="134178" cy="964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Straight Connector 204"/>
          <xdr:cNvSpPr>
            <a:spLocks/>
          </xdr:cNvSpPr>
        </xdr:nvSpPr>
        <xdr:spPr>
          <a:xfrm>
            <a:off x="3388526" y="23793062"/>
            <a:ext cx="134178" cy="964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Straight Connector 205"/>
          <xdr:cNvSpPr>
            <a:spLocks/>
          </xdr:cNvSpPr>
        </xdr:nvSpPr>
        <xdr:spPr>
          <a:xfrm>
            <a:off x="3656475" y="23735126"/>
            <a:ext cx="134178" cy="964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447675</xdr:colOff>
      <xdr:row>158</xdr:row>
      <xdr:rowOff>66675</xdr:rowOff>
    </xdr:from>
    <xdr:to>
      <xdr:col>6</xdr:col>
      <xdr:colOff>609600</xdr:colOff>
      <xdr:row>160</xdr:row>
      <xdr:rowOff>142875</xdr:rowOff>
    </xdr:to>
    <xdr:grpSp>
      <xdr:nvGrpSpPr>
        <xdr:cNvPr id="31" name="Group 263"/>
        <xdr:cNvGrpSpPr>
          <a:grpSpLocks/>
        </xdr:cNvGrpSpPr>
      </xdr:nvGrpSpPr>
      <xdr:grpSpPr>
        <a:xfrm rot="20893996" flipH="1">
          <a:off x="3733800" y="27774900"/>
          <a:ext cx="1676400" cy="400050"/>
          <a:chOff x="2521464" y="23648323"/>
          <a:chExt cx="1683717" cy="405147"/>
        </a:xfrm>
        <a:solidFill>
          <a:srgbClr val="FFFFFF"/>
        </a:solidFill>
      </xdr:grpSpPr>
      <xdr:sp>
        <xdr:nvSpPr>
          <xdr:cNvPr id="32" name="Straight Connector 264"/>
          <xdr:cNvSpPr>
            <a:spLocks/>
          </xdr:cNvSpPr>
        </xdr:nvSpPr>
        <xdr:spPr>
          <a:xfrm flipV="1">
            <a:off x="2640587" y="23429443"/>
            <a:ext cx="1497666" cy="3087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Straight Connector 265"/>
          <xdr:cNvSpPr>
            <a:spLocks/>
          </xdr:cNvSpPr>
        </xdr:nvSpPr>
        <xdr:spPr>
          <a:xfrm>
            <a:off x="3123393" y="23774526"/>
            <a:ext cx="133435" cy="964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Straight Connector 266"/>
          <xdr:cNvSpPr>
            <a:spLocks/>
          </xdr:cNvSpPr>
        </xdr:nvSpPr>
        <xdr:spPr>
          <a:xfrm>
            <a:off x="4071746" y="23505915"/>
            <a:ext cx="133435" cy="964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Straight Connector 267"/>
          <xdr:cNvSpPr>
            <a:spLocks/>
          </xdr:cNvSpPr>
        </xdr:nvSpPr>
        <xdr:spPr>
          <a:xfrm>
            <a:off x="2697833" y="23933040"/>
            <a:ext cx="133435" cy="964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Straight Connector 268"/>
          <xdr:cNvSpPr>
            <a:spLocks/>
          </xdr:cNvSpPr>
        </xdr:nvSpPr>
        <xdr:spPr>
          <a:xfrm>
            <a:off x="2817377" y="23898096"/>
            <a:ext cx="133435" cy="964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Straight Connector 269"/>
          <xdr:cNvSpPr>
            <a:spLocks/>
          </xdr:cNvSpPr>
        </xdr:nvSpPr>
        <xdr:spPr>
          <a:xfrm>
            <a:off x="3287134" y="23809065"/>
            <a:ext cx="133435" cy="1061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Straight Connector 270"/>
          <xdr:cNvSpPr>
            <a:spLocks/>
          </xdr:cNvSpPr>
        </xdr:nvSpPr>
        <xdr:spPr>
          <a:xfrm>
            <a:off x="3707222" y="23582589"/>
            <a:ext cx="133435" cy="964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Straight Connector 271"/>
          <xdr:cNvSpPr>
            <a:spLocks/>
          </xdr:cNvSpPr>
        </xdr:nvSpPr>
        <xdr:spPr>
          <a:xfrm>
            <a:off x="3791828" y="23703828"/>
            <a:ext cx="124174" cy="1061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Straight Connector 272"/>
          <xdr:cNvSpPr>
            <a:spLocks/>
          </xdr:cNvSpPr>
        </xdr:nvSpPr>
        <xdr:spPr>
          <a:xfrm>
            <a:off x="4022077" y="23644374"/>
            <a:ext cx="133435" cy="964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Straight Connector 273"/>
          <xdr:cNvSpPr>
            <a:spLocks/>
          </xdr:cNvSpPr>
        </xdr:nvSpPr>
        <xdr:spPr>
          <a:xfrm>
            <a:off x="3299762" y="23638904"/>
            <a:ext cx="133435" cy="964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Straight Connector 274"/>
          <xdr:cNvSpPr>
            <a:spLocks/>
          </xdr:cNvSpPr>
        </xdr:nvSpPr>
        <xdr:spPr>
          <a:xfrm>
            <a:off x="2743715" y="23913694"/>
            <a:ext cx="133435" cy="1061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Straight Connector 275"/>
          <xdr:cNvSpPr>
            <a:spLocks/>
          </xdr:cNvSpPr>
        </xdr:nvSpPr>
        <xdr:spPr>
          <a:xfrm>
            <a:off x="3100242" y="23710412"/>
            <a:ext cx="133435" cy="964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Straight Connector 276"/>
          <xdr:cNvSpPr>
            <a:spLocks/>
          </xdr:cNvSpPr>
        </xdr:nvSpPr>
        <xdr:spPr>
          <a:xfrm>
            <a:off x="3489180" y="23658047"/>
            <a:ext cx="133435" cy="964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Straight Connector 277"/>
          <xdr:cNvSpPr>
            <a:spLocks/>
          </xdr:cNvSpPr>
        </xdr:nvSpPr>
        <xdr:spPr>
          <a:xfrm>
            <a:off x="3660078" y="23730467"/>
            <a:ext cx="133435" cy="964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2"/>
  <sheetViews>
    <sheetView showGridLines="0" zoomScalePageLayoutView="0" workbookViewId="0" topLeftCell="A1">
      <selection activeCell="A1" sqref="A1"/>
    </sheetView>
  </sheetViews>
  <sheetFormatPr defaultColWidth="8.7109375" defaultRowHeight="12.75"/>
  <sheetData>
    <row r="1" spans="1:52" ht="12.7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2.7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189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5.00390625" style="280" customWidth="1"/>
    <col min="2" max="2" width="10.7109375" style="280" customWidth="1"/>
    <col min="3" max="3" width="22.421875" style="280" customWidth="1"/>
    <col min="4" max="4" width="14.7109375" style="280" customWidth="1"/>
    <col min="5" max="5" width="13.57421875" style="280" customWidth="1"/>
    <col min="6" max="6" width="12.00390625" style="280" customWidth="1"/>
    <col min="7" max="7" width="13.7109375" style="280" customWidth="1"/>
    <col min="8" max="8" width="14.28125" style="280" customWidth="1"/>
    <col min="9" max="10" width="9.140625" style="280" customWidth="1"/>
    <col min="11" max="11" width="16.28125" style="280" customWidth="1"/>
    <col min="12" max="12" width="9.140625" style="280" customWidth="1"/>
    <col min="13" max="13" width="12.421875" style="280" customWidth="1"/>
    <col min="14" max="14" width="13.7109375" style="280" customWidth="1"/>
    <col min="15" max="15" width="10.421875" style="309" customWidth="1"/>
    <col min="16" max="18" width="9.140625" style="309" customWidth="1"/>
    <col min="19" max="19" width="8.00390625" style="309" customWidth="1"/>
    <col min="20" max="20" width="10.57421875" style="309" customWidth="1"/>
    <col min="21" max="22" width="9.140625" style="309" customWidth="1"/>
    <col min="23" max="23" width="12.8515625" style="309" customWidth="1"/>
    <col min="24" max="24" width="9.140625" style="309" customWidth="1"/>
    <col min="25" max="16384" width="9.140625" style="280" customWidth="1"/>
  </cols>
  <sheetData>
    <row r="1" spans="1:8" ht="12.75">
      <c r="A1" s="5"/>
      <c r="B1" s="269"/>
      <c r="C1" s="482"/>
      <c r="D1" s="3"/>
      <c r="E1" s="4"/>
      <c r="F1" s="3"/>
      <c r="G1" s="4"/>
      <c r="H1" s="4"/>
    </row>
    <row r="2" spans="2:8" ht="15.75">
      <c r="B2" s="1393" t="s">
        <v>959</v>
      </c>
      <c r="C2" s="1394"/>
      <c r="D2" s="1394"/>
      <c r="E2" s="1394"/>
      <c r="F2" s="1394"/>
      <c r="G2" s="1394"/>
      <c r="H2" s="1395"/>
    </row>
    <row r="3" spans="2:5" ht="12.75">
      <c r="B3" s="269"/>
      <c r="C3" s="266"/>
      <c r="D3" s="228"/>
      <c r="E3" s="229"/>
    </row>
    <row r="4" spans="2:8" ht="12.75">
      <c r="B4" s="281"/>
      <c r="C4" s="282"/>
      <c r="D4" s="283"/>
      <c r="E4" s="283"/>
      <c r="F4" s="284"/>
      <c r="G4" s="284"/>
      <c r="H4" s="285"/>
    </row>
    <row r="5" spans="2:8" ht="12.75">
      <c r="B5" s="256">
        <v>1</v>
      </c>
      <c r="C5" s="18" t="s">
        <v>311</v>
      </c>
      <c r="D5" s="229"/>
      <c r="E5" s="229"/>
      <c r="F5" s="286"/>
      <c r="G5" s="286"/>
      <c r="H5" s="287"/>
    </row>
    <row r="6" spans="2:8" ht="12.75">
      <c r="B6" s="288"/>
      <c r="C6" s="286"/>
      <c r="D6" s="286"/>
      <c r="E6" s="286"/>
      <c r="F6" s="286"/>
      <c r="G6" s="286"/>
      <c r="H6" s="287"/>
    </row>
    <row r="7" spans="2:8" ht="12.75">
      <c r="B7" s="288"/>
      <c r="C7" s="286"/>
      <c r="D7" s="286"/>
      <c r="E7" s="286"/>
      <c r="F7" s="286"/>
      <c r="G7" s="286"/>
      <c r="H7" s="287"/>
    </row>
    <row r="8" spans="2:8" ht="12.75">
      <c r="B8" s="288"/>
      <c r="C8" s="228" t="s">
        <v>330</v>
      </c>
      <c r="D8" s="223" t="s">
        <v>326</v>
      </c>
      <c r="E8" s="301">
        <v>2000</v>
      </c>
      <c r="F8" s="286"/>
      <c r="G8" s="286"/>
      <c r="H8" s="287"/>
    </row>
    <row r="9" spans="2:14" ht="12.75">
      <c r="B9" s="288"/>
      <c r="C9" s="228" t="s">
        <v>331</v>
      </c>
      <c r="D9" s="223" t="s">
        <v>327</v>
      </c>
      <c r="E9" s="301">
        <v>1850</v>
      </c>
      <c r="F9" s="286"/>
      <c r="G9" s="286"/>
      <c r="H9" s="287"/>
      <c r="J9" s="229"/>
      <c r="K9" s="228"/>
      <c r="L9" s="229"/>
      <c r="M9" s="229"/>
      <c r="N9" s="228"/>
    </row>
    <row r="10" spans="2:14" ht="12.75">
      <c r="B10" s="288"/>
      <c r="C10" s="228" t="s">
        <v>332</v>
      </c>
      <c r="D10" s="223" t="s">
        <v>328</v>
      </c>
      <c r="E10" s="302">
        <f>SUM(E8:E9)</f>
        <v>3850</v>
      </c>
      <c r="F10" s="286"/>
      <c r="G10" s="286"/>
      <c r="H10" s="287"/>
      <c r="J10" s="229"/>
      <c r="K10" s="18"/>
      <c r="L10" s="229"/>
      <c r="M10" s="229"/>
      <c r="N10" s="228"/>
    </row>
    <row r="11" spans="2:14" ht="12.75">
      <c r="B11" s="288"/>
      <c r="C11" s="228" t="s">
        <v>212</v>
      </c>
      <c r="D11" s="223" t="s">
        <v>329</v>
      </c>
      <c r="E11" s="302">
        <f>(E10*1.1)/1.5</f>
        <v>2823.3333333333335</v>
      </c>
      <c r="F11" s="286"/>
      <c r="G11" s="286"/>
      <c r="H11" s="287"/>
      <c r="J11" s="229"/>
      <c r="K11" s="18"/>
      <c r="L11" s="229"/>
      <c r="M11" s="229"/>
      <c r="N11" s="228"/>
    </row>
    <row r="12" spans="2:14" ht="12.75">
      <c r="B12" s="288"/>
      <c r="C12" s="228"/>
      <c r="D12" s="223"/>
      <c r="E12" s="286"/>
      <c r="F12" s="286"/>
      <c r="G12" s="286"/>
      <c r="H12" s="287"/>
      <c r="J12" s="229"/>
      <c r="K12" s="228"/>
      <c r="L12" s="229"/>
      <c r="M12" s="313"/>
      <c r="N12" s="228"/>
    </row>
    <row r="13" spans="2:14" ht="12.75">
      <c r="B13" s="288"/>
      <c r="C13" s="228" t="s">
        <v>287</v>
      </c>
      <c r="D13" s="223" t="s">
        <v>250</v>
      </c>
      <c r="E13" s="303">
        <v>40</v>
      </c>
      <c r="F13" s="286"/>
      <c r="G13" s="286"/>
      <c r="H13" s="287"/>
      <c r="J13" s="229"/>
      <c r="K13" s="228"/>
      <c r="L13" s="229"/>
      <c r="M13" s="313"/>
      <c r="N13" s="228"/>
    </row>
    <row r="14" spans="2:14" ht="12.75">
      <c r="B14" s="288"/>
      <c r="C14" s="228" t="s">
        <v>288</v>
      </c>
      <c r="D14" s="223" t="s">
        <v>251</v>
      </c>
      <c r="E14" s="303">
        <v>40</v>
      </c>
      <c r="F14" s="286"/>
      <c r="G14" s="286"/>
      <c r="H14" s="287"/>
      <c r="J14" s="229"/>
      <c r="K14" s="228"/>
      <c r="L14" s="229"/>
      <c r="M14" s="229"/>
      <c r="N14" s="228"/>
    </row>
    <row r="15" spans="2:14" ht="12.75">
      <c r="B15" s="288"/>
      <c r="C15" s="228"/>
      <c r="D15" s="223"/>
      <c r="E15" s="286"/>
      <c r="F15" s="286"/>
      <c r="G15" s="286"/>
      <c r="H15" s="287"/>
      <c r="J15" s="229"/>
      <c r="K15" s="228"/>
      <c r="L15" s="229"/>
      <c r="M15" s="290"/>
      <c r="N15" s="228"/>
    </row>
    <row r="16" spans="2:14" ht="12.75">
      <c r="B16" s="288"/>
      <c r="C16" s="228" t="s">
        <v>333</v>
      </c>
      <c r="D16" s="223"/>
      <c r="E16" s="962">
        <v>2.725</v>
      </c>
      <c r="F16" s="286"/>
      <c r="G16" s="286"/>
      <c r="H16" s="287"/>
      <c r="J16" s="229"/>
      <c r="K16" s="228"/>
      <c r="L16" s="229"/>
      <c r="M16" s="290"/>
      <c r="N16" s="228"/>
    </row>
    <row r="17" spans="2:14" ht="12.75">
      <c r="B17" s="288"/>
      <c r="C17" s="49" t="s">
        <v>556</v>
      </c>
      <c r="D17" s="223"/>
      <c r="E17" s="962">
        <v>0</v>
      </c>
      <c r="F17" s="286"/>
      <c r="G17" s="286"/>
      <c r="H17" s="287"/>
      <c r="J17" s="229"/>
      <c r="K17" s="228"/>
      <c r="L17" s="229"/>
      <c r="M17" s="229"/>
      <c r="N17" s="228"/>
    </row>
    <row r="18" spans="2:14" ht="12.75">
      <c r="B18" s="288"/>
      <c r="C18" s="279"/>
      <c r="D18" s="338"/>
      <c r="F18" s="286"/>
      <c r="G18" s="286"/>
      <c r="H18" s="287"/>
      <c r="J18" s="229"/>
      <c r="K18" s="228"/>
      <c r="L18" s="229"/>
      <c r="M18" s="314"/>
      <c r="N18" s="228"/>
    </row>
    <row r="19" spans="2:14" ht="12.75">
      <c r="B19" s="288"/>
      <c r="C19" s="228" t="s">
        <v>283</v>
      </c>
      <c r="D19" s="223" t="s">
        <v>284</v>
      </c>
      <c r="E19" s="304">
        <v>0.2</v>
      </c>
      <c r="F19" s="286"/>
      <c r="G19" s="286"/>
      <c r="H19" s="287"/>
      <c r="J19" s="229"/>
      <c r="K19" s="228"/>
      <c r="L19" s="229"/>
      <c r="M19" s="314"/>
      <c r="N19" s="228"/>
    </row>
    <row r="20" spans="2:14" ht="12.75">
      <c r="B20" s="288"/>
      <c r="C20" s="228"/>
      <c r="D20" s="223" t="s">
        <v>252</v>
      </c>
      <c r="E20" s="304">
        <v>0.2</v>
      </c>
      <c r="F20" s="286"/>
      <c r="G20" s="286"/>
      <c r="H20" s="287"/>
      <c r="J20" s="229"/>
      <c r="K20" s="228"/>
      <c r="L20" s="229"/>
      <c r="M20" s="229"/>
      <c r="N20" s="228"/>
    </row>
    <row r="21" spans="2:14" ht="12.75">
      <c r="B21" s="288"/>
      <c r="C21" s="228"/>
      <c r="D21" s="223"/>
      <c r="E21" s="286"/>
      <c r="F21" s="286"/>
      <c r="G21" s="286"/>
      <c r="H21" s="287"/>
      <c r="J21" s="229"/>
      <c r="K21" s="228"/>
      <c r="L21" s="229"/>
      <c r="M21" s="292"/>
      <c r="N21" s="228"/>
    </row>
    <row r="22" spans="2:14" ht="12.75">
      <c r="B22" s="288"/>
      <c r="C22" s="228" t="s">
        <v>290</v>
      </c>
      <c r="D22" s="223" t="s">
        <v>320</v>
      </c>
      <c r="E22" s="305">
        <v>150</v>
      </c>
      <c r="F22" s="286"/>
      <c r="G22" s="286"/>
      <c r="H22" s="287"/>
      <c r="J22" s="229"/>
      <c r="K22" s="228"/>
      <c r="L22" s="229"/>
      <c r="M22" s="229"/>
      <c r="N22" s="228"/>
    </row>
    <row r="23" spans="2:14" ht="12.75">
      <c r="B23" s="288"/>
      <c r="C23" s="228"/>
      <c r="D23" s="223"/>
      <c r="E23" s="286"/>
      <c r="F23" s="286"/>
      <c r="G23" s="286"/>
      <c r="H23" s="287"/>
      <c r="J23" s="229"/>
      <c r="K23" s="228"/>
      <c r="L23" s="229"/>
      <c r="M23" s="293"/>
      <c r="N23" s="228"/>
    </row>
    <row r="24" spans="2:14" ht="12.75">
      <c r="B24" s="288"/>
      <c r="C24" s="228" t="s">
        <v>319</v>
      </c>
      <c r="D24" s="223" t="s">
        <v>318</v>
      </c>
      <c r="E24" s="306">
        <f>(E11)/(E22)</f>
        <v>18.822222222222223</v>
      </c>
      <c r="F24" s="286"/>
      <c r="G24" s="286"/>
      <c r="H24" s="287"/>
      <c r="J24" s="229"/>
      <c r="K24" s="228"/>
      <c r="L24" s="229"/>
      <c r="M24" s="229"/>
      <c r="N24" s="228"/>
    </row>
    <row r="25" spans="2:14" ht="12.75">
      <c r="B25" s="288"/>
      <c r="C25" s="228"/>
      <c r="D25" s="223"/>
      <c r="E25" s="286"/>
      <c r="F25" s="286"/>
      <c r="G25" s="286"/>
      <c r="H25" s="287"/>
      <c r="J25" s="229"/>
      <c r="K25" s="1381"/>
      <c r="L25" s="229"/>
      <c r="M25" s="291"/>
      <c r="N25" s="349"/>
    </row>
    <row r="26" spans="2:14" ht="12.75">
      <c r="B26" s="288"/>
      <c r="C26" s="1383" t="s">
        <v>315</v>
      </c>
      <c r="D26" s="223" t="s">
        <v>291</v>
      </c>
      <c r="E26" s="264">
        <v>6</v>
      </c>
      <c r="F26" s="286"/>
      <c r="G26" s="286"/>
      <c r="H26" s="287"/>
      <c r="J26" s="229"/>
      <c r="K26" s="1381"/>
      <c r="L26" s="229"/>
      <c r="M26" s="291"/>
      <c r="N26" s="228"/>
    </row>
    <row r="27" spans="2:14" ht="12.75">
      <c r="B27" s="288"/>
      <c r="C27" s="1383"/>
      <c r="D27" s="223" t="s">
        <v>292</v>
      </c>
      <c r="E27" s="264">
        <v>3.2</v>
      </c>
      <c r="F27" s="286"/>
      <c r="G27" s="286"/>
      <c r="H27" s="287"/>
      <c r="J27" s="229"/>
      <c r="K27" s="228"/>
      <c r="L27" s="229"/>
      <c r="M27" s="294"/>
      <c r="N27" s="228"/>
    </row>
    <row r="28" spans="2:14" ht="12.75">
      <c r="B28" s="288"/>
      <c r="C28" s="228" t="s">
        <v>316</v>
      </c>
      <c r="D28" s="223" t="s">
        <v>317</v>
      </c>
      <c r="E28" s="307">
        <f>E26*E27</f>
        <v>19.200000000000003</v>
      </c>
      <c r="F28" s="286"/>
      <c r="G28" s="286"/>
      <c r="H28" s="287"/>
      <c r="J28" s="229"/>
      <c r="K28" s="228"/>
      <c r="L28" s="229"/>
      <c r="M28" s="229"/>
      <c r="N28" s="228"/>
    </row>
    <row r="29" spans="2:14" ht="12.75">
      <c r="B29" s="288"/>
      <c r="C29" s="228"/>
      <c r="D29" s="223"/>
      <c r="E29" s="286"/>
      <c r="F29" s="286"/>
      <c r="G29" s="286"/>
      <c r="H29" s="287"/>
      <c r="J29" s="229"/>
      <c r="K29" s="228"/>
      <c r="L29" s="229"/>
      <c r="M29" s="315"/>
      <c r="N29" s="228"/>
    </row>
    <row r="30" spans="2:14" ht="12.75">
      <c r="B30" s="288"/>
      <c r="C30" s="228"/>
      <c r="D30" s="223" t="s">
        <v>209</v>
      </c>
      <c r="E30" s="232">
        <f>(E9*E16)/E10</f>
        <v>1.3094155844155844</v>
      </c>
      <c r="F30" s="286"/>
      <c r="G30" s="286"/>
      <c r="H30" s="287"/>
      <c r="J30" s="229"/>
      <c r="K30" s="228"/>
      <c r="L30" s="229"/>
      <c r="M30" s="315"/>
      <c r="N30" s="228"/>
    </row>
    <row r="31" spans="2:14" ht="12.75">
      <c r="B31" s="288"/>
      <c r="C31" s="228"/>
      <c r="D31" s="223" t="s">
        <v>210</v>
      </c>
      <c r="E31" s="232">
        <f>(E9*E17)/E10</f>
        <v>0</v>
      </c>
      <c r="F31" s="286"/>
      <c r="G31" s="286"/>
      <c r="H31" s="287"/>
      <c r="J31" s="229"/>
      <c r="K31" s="228"/>
      <c r="L31" s="229"/>
      <c r="M31" s="229"/>
      <c r="N31" s="228"/>
    </row>
    <row r="32" spans="2:14" ht="12.75">
      <c r="B32" s="288"/>
      <c r="C32" s="228"/>
      <c r="D32" s="339"/>
      <c r="E32" s="286"/>
      <c r="F32" s="286"/>
      <c r="G32" s="286"/>
      <c r="H32" s="287"/>
      <c r="J32" s="229"/>
      <c r="K32" s="228"/>
      <c r="L32" s="229"/>
      <c r="M32" s="292"/>
      <c r="N32" s="228"/>
    </row>
    <row r="33" spans="2:14" ht="12.75">
      <c r="B33" s="288"/>
      <c r="C33" s="228"/>
      <c r="D33" s="223" t="s">
        <v>294</v>
      </c>
      <c r="E33" s="231">
        <f>(E26*(E27^2))/6</f>
        <v>10.240000000000002</v>
      </c>
      <c r="F33" s="286"/>
      <c r="G33" s="286"/>
      <c r="H33" s="287"/>
      <c r="J33" s="229"/>
      <c r="K33" s="228"/>
      <c r="L33" s="229"/>
      <c r="M33" s="229"/>
      <c r="N33" s="228"/>
    </row>
    <row r="34" spans="2:14" ht="12.75">
      <c r="B34" s="288"/>
      <c r="C34" s="286"/>
      <c r="D34" s="223" t="s">
        <v>294</v>
      </c>
      <c r="E34" s="231">
        <f>(E27*E26^2)/6</f>
        <v>19.2</v>
      </c>
      <c r="F34" s="286"/>
      <c r="G34" s="286"/>
      <c r="H34" s="287"/>
      <c r="J34" s="229"/>
      <c r="K34" s="228"/>
      <c r="L34" s="1382"/>
      <c r="M34" s="1382"/>
      <c r="N34" s="297"/>
    </row>
    <row r="35" spans="2:14" ht="12.75">
      <c r="B35" s="288"/>
      <c r="C35" s="286"/>
      <c r="D35" s="223"/>
      <c r="E35" s="286"/>
      <c r="F35" s="286"/>
      <c r="G35" s="286"/>
      <c r="H35" s="287"/>
      <c r="J35" s="229"/>
      <c r="K35" s="228"/>
      <c r="L35" s="229"/>
      <c r="M35" s="229"/>
      <c r="N35" s="228"/>
    </row>
    <row r="36" spans="2:14" ht="12.75">
      <c r="B36" s="288"/>
      <c r="C36" s="286"/>
      <c r="D36" s="223" t="s">
        <v>211</v>
      </c>
      <c r="E36" s="230">
        <f>(E11/E28)+(E14/(1.5*E33))+(E13/(1.5*E34))</f>
        <v>151.04166666666663</v>
      </c>
      <c r="F36" s="286"/>
      <c r="G36" s="286"/>
      <c r="H36" s="287"/>
      <c r="J36" s="286"/>
      <c r="K36" s="286"/>
      <c r="L36" s="286"/>
      <c r="M36" s="286"/>
      <c r="N36" s="286"/>
    </row>
    <row r="37" spans="2:8" ht="12.75">
      <c r="B37" s="288"/>
      <c r="C37" s="286"/>
      <c r="D37" s="286"/>
      <c r="E37" s="286"/>
      <c r="F37" s="289"/>
      <c r="G37" s="286"/>
      <c r="H37" s="287"/>
    </row>
    <row r="38" spans="2:8" ht="12.75">
      <c r="B38" s="288"/>
      <c r="C38" s="286"/>
      <c r="D38" s="1384" t="str">
        <f>IF(E36&lt;E22,"Footing Size OK","Increase the Footing Size")</f>
        <v>Increase the Footing Size</v>
      </c>
      <c r="E38" s="1384"/>
      <c r="F38" s="286"/>
      <c r="G38" s="286"/>
      <c r="H38" s="287"/>
    </row>
    <row r="39" spans="2:8" ht="12.75">
      <c r="B39" s="298"/>
      <c r="C39" s="299"/>
      <c r="D39" s="299"/>
      <c r="E39" s="299"/>
      <c r="F39" s="299"/>
      <c r="G39" s="299"/>
      <c r="H39" s="300"/>
    </row>
    <row r="40" spans="2:7" ht="12.75">
      <c r="B40" s="286"/>
      <c r="C40" s="286"/>
      <c r="D40" s="286"/>
      <c r="E40" s="286"/>
      <c r="F40" s="286"/>
      <c r="G40" s="286"/>
    </row>
    <row r="41" spans="2:8" ht="12.75">
      <c r="B41" s="310"/>
      <c r="C41" s="284"/>
      <c r="D41" s="284"/>
      <c r="E41" s="284"/>
      <c r="F41" s="284"/>
      <c r="G41" s="284"/>
      <c r="H41" s="285"/>
    </row>
    <row r="42" spans="2:8" ht="12.75">
      <c r="B42" s="336">
        <v>2</v>
      </c>
      <c r="C42" s="112" t="s">
        <v>79</v>
      </c>
      <c r="D42" s="286"/>
      <c r="E42" s="286"/>
      <c r="F42" s="286"/>
      <c r="G42" s="286"/>
      <c r="H42" s="287"/>
    </row>
    <row r="43" spans="2:8" ht="12.75">
      <c r="B43" s="288"/>
      <c r="C43" s="286"/>
      <c r="D43" s="286"/>
      <c r="E43" s="286"/>
      <c r="F43" s="286"/>
      <c r="G43" s="286"/>
      <c r="H43" s="287"/>
    </row>
    <row r="44" spans="2:8" ht="12.75">
      <c r="B44" s="288"/>
      <c r="C44" s="286" t="s">
        <v>95</v>
      </c>
      <c r="D44" s="338" t="s">
        <v>237</v>
      </c>
      <c r="E44" s="230">
        <f>E36</f>
        <v>151.04166666666663</v>
      </c>
      <c r="F44" s="286"/>
      <c r="G44" s="286"/>
      <c r="H44" s="287"/>
    </row>
    <row r="45" spans="2:8" ht="12.75">
      <c r="B45" s="288"/>
      <c r="C45" s="286" t="s">
        <v>96</v>
      </c>
      <c r="D45" s="338" t="s">
        <v>348</v>
      </c>
      <c r="E45" s="230">
        <f>1.5*E44*E27</f>
        <v>724.9999999999999</v>
      </c>
      <c r="F45" s="286"/>
      <c r="G45" s="286"/>
      <c r="H45" s="287"/>
    </row>
    <row r="46" spans="2:8" ht="12.75">
      <c r="B46" s="288"/>
      <c r="C46" s="286"/>
      <c r="D46" s="286"/>
      <c r="E46" s="286"/>
      <c r="F46" s="286"/>
      <c r="G46" s="286"/>
      <c r="H46" s="287"/>
    </row>
    <row r="47" spans="2:8" ht="12.75">
      <c r="B47" s="288"/>
      <c r="C47" s="964">
        <f>(E26/2)-E30</f>
        <v>1.6905844155844156</v>
      </c>
      <c r="D47" s="295"/>
      <c r="E47" s="963">
        <f>E16</f>
        <v>2.725</v>
      </c>
      <c r="F47" s="295"/>
      <c r="G47" s="963">
        <f>E26-(E47+C47)</f>
        <v>1.5844155844155843</v>
      </c>
      <c r="H47" s="287"/>
    </row>
    <row r="48" spans="2:8" ht="12.75">
      <c r="B48" s="288"/>
      <c r="C48" s="286"/>
      <c r="D48" s="286"/>
      <c r="E48" s="229"/>
      <c r="F48" s="286"/>
      <c r="G48" s="286"/>
      <c r="H48" s="287"/>
    </row>
    <row r="49" spans="2:8" ht="12.75">
      <c r="B49" s="288"/>
      <c r="C49" s="286"/>
      <c r="D49" s="286"/>
      <c r="E49" s="286"/>
      <c r="F49" s="286"/>
      <c r="G49" s="286"/>
      <c r="H49" s="287"/>
    </row>
    <row r="50" spans="2:8" ht="12.75">
      <c r="B50" s="288"/>
      <c r="C50" s="286"/>
      <c r="D50" s="286"/>
      <c r="E50" s="286"/>
      <c r="F50" s="286"/>
      <c r="G50" s="286"/>
      <c r="H50" s="287"/>
    </row>
    <row r="51" spans="2:8" ht="12.75">
      <c r="B51" s="288"/>
      <c r="C51" s="286"/>
      <c r="D51" s="286"/>
      <c r="E51" s="286"/>
      <c r="F51" s="286"/>
      <c r="G51" s="286"/>
      <c r="H51" s="287"/>
    </row>
    <row r="52" spans="2:8" ht="12.75">
      <c r="B52" s="288"/>
      <c r="C52" s="286"/>
      <c r="D52" s="286"/>
      <c r="E52" s="286"/>
      <c r="F52" s="286"/>
      <c r="G52" s="286"/>
      <c r="H52" s="361">
        <f>E27</f>
        <v>3.2</v>
      </c>
    </row>
    <row r="53" spans="2:8" ht="12.75">
      <c r="B53" s="288"/>
      <c r="C53" s="286"/>
      <c r="D53" s="286"/>
      <c r="E53" s="286"/>
      <c r="F53" s="286"/>
      <c r="G53" s="286"/>
      <c r="H53" s="287"/>
    </row>
    <row r="54" spans="2:8" ht="12.75">
      <c r="B54" s="288"/>
      <c r="C54" s="286"/>
      <c r="D54" s="286"/>
      <c r="E54" s="286"/>
      <c r="F54" s="286"/>
      <c r="G54" s="286"/>
      <c r="H54" s="287"/>
    </row>
    <row r="55" spans="2:8" ht="12.75">
      <c r="B55" s="288"/>
      <c r="C55" s="286"/>
      <c r="D55" s="286"/>
      <c r="E55" s="286"/>
      <c r="F55" s="286"/>
      <c r="G55" s="286"/>
      <c r="H55" s="287"/>
    </row>
    <row r="56" spans="2:8" ht="12.75">
      <c r="B56" s="288"/>
      <c r="C56" s="286"/>
      <c r="D56" s="286"/>
      <c r="E56" s="286"/>
      <c r="F56" s="286"/>
      <c r="G56" s="286"/>
      <c r="H56" s="287"/>
    </row>
    <row r="57" spans="2:8" ht="12.75">
      <c r="B57" s="288"/>
      <c r="C57" s="286"/>
      <c r="D57" s="286"/>
      <c r="E57" s="333">
        <f>E26</f>
        <v>6</v>
      </c>
      <c r="F57" s="286"/>
      <c r="G57" s="286"/>
      <c r="H57" s="287"/>
    </row>
    <row r="58" spans="2:8" ht="12.75">
      <c r="B58" s="288"/>
      <c r="C58" s="286"/>
      <c r="D58" s="286"/>
      <c r="E58" s="286"/>
      <c r="F58" s="286"/>
      <c r="G58" s="286"/>
      <c r="H58" s="287"/>
    </row>
    <row r="59" spans="2:8" ht="12.75">
      <c r="B59" s="288"/>
      <c r="C59" s="286"/>
      <c r="D59" s="286"/>
      <c r="E59" s="286"/>
      <c r="F59" s="286"/>
      <c r="G59" s="286"/>
      <c r="H59" s="287"/>
    </row>
    <row r="60" spans="2:8" ht="12.75">
      <c r="B60" s="288"/>
      <c r="C60" s="286"/>
      <c r="D60" s="286"/>
      <c r="E60" s="286"/>
      <c r="F60" s="286"/>
      <c r="G60" s="286"/>
      <c r="H60" s="287"/>
    </row>
    <row r="61" spans="2:8" ht="12.75">
      <c r="B61" s="288"/>
      <c r="C61" s="286"/>
      <c r="D61" s="286"/>
      <c r="E61" s="308">
        <f>E45</f>
        <v>724.9999999999999</v>
      </c>
      <c r="F61" s="286"/>
      <c r="G61" s="286"/>
      <c r="H61" s="287"/>
    </row>
    <row r="62" spans="2:8" ht="12.75">
      <c r="B62" s="288"/>
      <c r="C62" s="286"/>
      <c r="D62" s="286"/>
      <c r="E62" s="286"/>
      <c r="F62" s="286"/>
      <c r="G62" s="286"/>
      <c r="H62" s="287"/>
    </row>
    <row r="63" spans="2:8" ht="12.75">
      <c r="B63" s="288"/>
      <c r="C63" s="286"/>
      <c r="D63" s="286"/>
      <c r="E63" s="286"/>
      <c r="F63" s="286"/>
      <c r="G63" s="286"/>
      <c r="H63" s="287"/>
    </row>
    <row r="64" spans="2:8" ht="12.75">
      <c r="B64" s="288"/>
      <c r="C64" s="286"/>
      <c r="D64" s="286"/>
      <c r="E64" s="286"/>
      <c r="F64" s="286"/>
      <c r="G64" s="286"/>
      <c r="H64" s="287"/>
    </row>
    <row r="65" spans="2:8" ht="12.75">
      <c r="B65" s="288"/>
      <c r="C65" s="286"/>
      <c r="D65" s="286"/>
      <c r="E65" s="286"/>
      <c r="F65" s="286"/>
      <c r="G65" s="286"/>
      <c r="H65" s="287"/>
    </row>
    <row r="66" spans="2:8" ht="12.75">
      <c r="B66" s="288"/>
      <c r="C66" s="333">
        <f>C47</f>
        <v>1.6905844155844156</v>
      </c>
      <c r="D66" s="295"/>
      <c r="E66" s="333">
        <f>E47</f>
        <v>2.725</v>
      </c>
      <c r="F66" s="295"/>
      <c r="G66" s="333">
        <f>G47</f>
        <v>1.5844155844155843</v>
      </c>
      <c r="H66" s="311"/>
    </row>
    <row r="67" spans="2:8" ht="12.75">
      <c r="B67" s="288"/>
      <c r="C67" s="286"/>
      <c r="D67" s="286"/>
      <c r="E67" s="286"/>
      <c r="F67" s="286"/>
      <c r="G67" s="286"/>
      <c r="H67" s="287"/>
    </row>
    <row r="68" spans="2:8" ht="12.75">
      <c r="B68" s="288"/>
      <c r="C68" s="286"/>
      <c r="D68" s="286"/>
      <c r="E68" s="286"/>
      <c r="F68" s="286"/>
      <c r="G68" s="286"/>
      <c r="H68" s="287"/>
    </row>
    <row r="69" spans="2:8" ht="12.75">
      <c r="B69" s="288"/>
      <c r="C69" s="286"/>
      <c r="D69" s="286"/>
      <c r="E69" s="286"/>
      <c r="F69" s="286"/>
      <c r="G69" s="286"/>
      <c r="H69" s="287"/>
    </row>
    <row r="70" spans="2:8" ht="12.75">
      <c r="B70" s="288"/>
      <c r="C70" s="286" t="s">
        <v>334</v>
      </c>
      <c r="D70" s="286" t="s">
        <v>11</v>
      </c>
      <c r="E70" s="64">
        <v>600</v>
      </c>
      <c r="F70" s="286"/>
      <c r="G70" s="286"/>
      <c r="H70" s="287"/>
    </row>
    <row r="71" spans="2:8" ht="12.75">
      <c r="B71" s="288"/>
      <c r="C71" s="286"/>
      <c r="D71" s="286" t="s">
        <v>12</v>
      </c>
      <c r="E71" s="64">
        <v>900</v>
      </c>
      <c r="F71" s="286"/>
      <c r="G71" s="286"/>
      <c r="H71" s="287"/>
    </row>
    <row r="72" spans="2:8" ht="12.75">
      <c r="B72" s="288"/>
      <c r="C72" s="286"/>
      <c r="D72" s="286"/>
      <c r="E72" s="286"/>
      <c r="F72" s="286"/>
      <c r="G72" s="286"/>
      <c r="H72" s="287"/>
    </row>
    <row r="73" spans="2:8" ht="12.75">
      <c r="B73" s="288"/>
      <c r="C73" s="286" t="s">
        <v>1</v>
      </c>
      <c r="D73" s="286" t="s">
        <v>335</v>
      </c>
      <c r="E73" s="303">
        <v>898</v>
      </c>
      <c r="F73" s="286"/>
      <c r="G73" s="286"/>
      <c r="H73" s="287"/>
    </row>
    <row r="74" spans="2:8" ht="12.75">
      <c r="B74" s="288"/>
      <c r="C74" s="286"/>
      <c r="D74" s="296"/>
      <c r="E74" s="286"/>
      <c r="F74" s="286"/>
      <c r="G74" s="286"/>
      <c r="H74" s="287"/>
    </row>
    <row r="75" spans="2:8" ht="12.75">
      <c r="B75" s="288"/>
      <c r="C75" s="286" t="s">
        <v>285</v>
      </c>
      <c r="D75" s="296"/>
      <c r="E75" s="286"/>
      <c r="F75" s="286"/>
      <c r="G75" s="286"/>
      <c r="H75" s="287"/>
    </row>
    <row r="76" spans="2:8" ht="12.75">
      <c r="B76" s="288"/>
      <c r="C76" s="286"/>
      <c r="D76" s="296"/>
      <c r="E76" s="286"/>
      <c r="F76" s="286"/>
      <c r="G76" s="286"/>
      <c r="H76" s="287"/>
    </row>
    <row r="77" spans="2:8" ht="12.75">
      <c r="B77" s="288"/>
      <c r="C77" s="18" t="s">
        <v>350</v>
      </c>
      <c r="D77" s="4"/>
      <c r="E77" s="4"/>
      <c r="F77" s="4"/>
      <c r="G77" s="4"/>
      <c r="H77" s="287"/>
    </row>
    <row r="78" spans="2:8" ht="12.75">
      <c r="B78" s="288"/>
      <c r="C78" s="16" t="s">
        <v>19</v>
      </c>
      <c r="D78" s="11" t="s">
        <v>2</v>
      </c>
      <c r="E78" s="11" t="s">
        <v>18</v>
      </c>
      <c r="F78" s="11" t="s">
        <v>14</v>
      </c>
      <c r="G78" s="67"/>
      <c r="H78" s="287"/>
    </row>
    <row r="79" spans="2:8" ht="12.75">
      <c r="B79" s="288"/>
      <c r="C79" s="6" t="s">
        <v>20</v>
      </c>
      <c r="D79" s="64">
        <v>25</v>
      </c>
      <c r="E79" s="65">
        <v>6</v>
      </c>
      <c r="F79" s="340">
        <f>IF(D79="-","",(PI()/4)*(D79^2)*(E79))</f>
        <v>2945.243112740431</v>
      </c>
      <c r="G79" s="5"/>
      <c r="H79" s="287"/>
    </row>
    <row r="80" spans="2:8" ht="12.75">
      <c r="B80" s="288"/>
      <c r="C80" s="10" t="s">
        <v>21</v>
      </c>
      <c r="D80" s="64">
        <v>25</v>
      </c>
      <c r="E80" s="65">
        <v>6</v>
      </c>
      <c r="F80" s="341">
        <f>IF(D80="-","",(PI()/4)*(D80^2)*(E80))</f>
        <v>2945.243112740431</v>
      </c>
      <c r="G80" s="63"/>
      <c r="H80" s="287"/>
    </row>
    <row r="81" spans="2:8" ht="12.75">
      <c r="B81" s="288"/>
      <c r="C81" s="8" t="s">
        <v>22</v>
      </c>
      <c r="D81" s="64" t="s">
        <v>32</v>
      </c>
      <c r="E81" s="65"/>
      <c r="F81" s="342">
        <f>IF(D81="-","",(PI()/4)*(D81^2)*(E81))</f>
      </c>
      <c r="G81" s="63"/>
      <c r="H81" s="287"/>
    </row>
    <row r="82" spans="2:8" ht="12.75">
      <c r="B82" s="288"/>
      <c r="C82" s="1389" t="s">
        <v>23</v>
      </c>
      <c r="D82" s="1342"/>
      <c r="E82" s="1390"/>
      <c r="F82" s="343">
        <f>SUM(F79:F81)</f>
        <v>5890.486225480862</v>
      </c>
      <c r="H82" s="287"/>
    </row>
    <row r="83" spans="2:8" ht="12.75">
      <c r="B83" s="288"/>
      <c r="C83" s="1389" t="s">
        <v>349</v>
      </c>
      <c r="D83" s="1391"/>
      <c r="E83" s="1392"/>
      <c r="F83" s="344">
        <f>(F82*100/(E70*(E71-20-D79)))</f>
        <v>1.1482429289436378</v>
      </c>
      <c r="H83" s="287"/>
    </row>
    <row r="84" spans="2:8" ht="12.75">
      <c r="B84" s="288"/>
      <c r="C84" s="345"/>
      <c r="D84" s="345"/>
      <c r="E84" s="345"/>
      <c r="F84" s="211"/>
      <c r="H84" s="287"/>
    </row>
    <row r="85" spans="2:8" ht="12.75">
      <c r="B85" s="288"/>
      <c r="C85" s="18" t="s">
        <v>351</v>
      </c>
      <c r="D85" s="4"/>
      <c r="E85" s="4"/>
      <c r="F85" s="4"/>
      <c r="H85" s="287"/>
    </row>
    <row r="86" spans="2:8" ht="12.75">
      <c r="B86" s="288"/>
      <c r="C86" s="16" t="s">
        <v>19</v>
      </c>
      <c r="D86" s="11" t="s">
        <v>2</v>
      </c>
      <c r="E86" s="11" t="s">
        <v>18</v>
      </c>
      <c r="F86" s="11" t="s">
        <v>14</v>
      </c>
      <c r="H86" s="287"/>
    </row>
    <row r="87" spans="2:8" ht="12.75">
      <c r="B87" s="288"/>
      <c r="C87" s="6" t="s">
        <v>20</v>
      </c>
      <c r="D87" s="64">
        <v>25</v>
      </c>
      <c r="E87" s="65">
        <v>6</v>
      </c>
      <c r="F87" s="340">
        <f>IF(D87="-","",(PI()/4)*(D87^2)*(E87))</f>
        <v>2945.243112740431</v>
      </c>
      <c r="H87" s="287"/>
    </row>
    <row r="88" spans="2:8" ht="12.75">
      <c r="B88" s="288"/>
      <c r="C88" s="10" t="s">
        <v>21</v>
      </c>
      <c r="D88" s="64">
        <v>20</v>
      </c>
      <c r="E88" s="65">
        <v>6</v>
      </c>
      <c r="F88" s="341">
        <f>IF(D88="-","",(PI()/4)*(D88^2)*(E88))</f>
        <v>1884.9555921538758</v>
      </c>
      <c r="G88" s="41"/>
      <c r="H88" s="287"/>
    </row>
    <row r="89" spans="2:8" ht="12.75">
      <c r="B89" s="288"/>
      <c r="C89" s="8" t="s">
        <v>22</v>
      </c>
      <c r="D89" s="64" t="s">
        <v>32</v>
      </c>
      <c r="E89" s="65"/>
      <c r="F89" s="342">
        <f>IF(D89="-","",(PI()/4)*(D89^2)*(E89))</f>
      </c>
      <c r="G89" s="286"/>
      <c r="H89" s="287"/>
    </row>
    <row r="90" spans="2:8" ht="12.75">
      <c r="B90" s="288"/>
      <c r="C90" s="1389" t="s">
        <v>23</v>
      </c>
      <c r="D90" s="1342"/>
      <c r="E90" s="1390"/>
      <c r="F90" s="343">
        <f>SUM(F87:F89)</f>
        <v>4830.1987048943065</v>
      </c>
      <c r="G90" s="286"/>
      <c r="H90" s="287"/>
    </row>
    <row r="91" spans="2:8" ht="12.75">
      <c r="B91" s="298"/>
      <c r="C91" s="299"/>
      <c r="D91" s="299"/>
      <c r="E91" s="299"/>
      <c r="F91" s="299"/>
      <c r="G91" s="299"/>
      <c r="H91" s="300"/>
    </row>
    <row r="92" spans="2:8" ht="12.75">
      <c r="B92" s="286"/>
      <c r="C92" s="286"/>
      <c r="D92" s="286"/>
      <c r="E92" s="286"/>
      <c r="F92" s="286"/>
      <c r="G92" s="286"/>
      <c r="H92" s="286"/>
    </row>
    <row r="93" spans="2:8" ht="12.75">
      <c r="B93" s="310"/>
      <c r="C93" s="284"/>
      <c r="D93" s="284"/>
      <c r="E93" s="284"/>
      <c r="F93" s="284"/>
      <c r="G93" s="284"/>
      <c r="H93" s="285"/>
    </row>
    <row r="94" spans="2:13" ht="12.75">
      <c r="B94" s="337">
        <v>3</v>
      </c>
      <c r="C94" s="112" t="s">
        <v>78</v>
      </c>
      <c r="D94" s="286"/>
      <c r="E94" s="286"/>
      <c r="F94" s="286"/>
      <c r="G94" s="286"/>
      <c r="H94" s="287"/>
      <c r="J94" s="286"/>
      <c r="K94" s="286"/>
      <c r="L94" s="286"/>
      <c r="M94" s="286"/>
    </row>
    <row r="95" spans="2:14" ht="12.75">
      <c r="B95" s="288"/>
      <c r="C95" s="286"/>
      <c r="D95" s="286"/>
      <c r="E95" s="286"/>
      <c r="F95" s="286"/>
      <c r="G95" s="286"/>
      <c r="H95" s="287"/>
      <c r="J95" s="228"/>
      <c r="K95" s="229"/>
      <c r="L95" s="316"/>
      <c r="M95" s="286"/>
      <c r="N95" s="286"/>
    </row>
    <row r="96" spans="2:14" ht="12.75">
      <c r="B96" s="288"/>
      <c r="C96" s="18"/>
      <c r="D96" s="4"/>
      <c r="E96" s="4"/>
      <c r="F96" s="3"/>
      <c r="G96" s="4"/>
      <c r="H96" s="15"/>
      <c r="J96" s="3"/>
      <c r="K96" s="4"/>
      <c r="L96" s="4"/>
      <c r="M96" s="286"/>
      <c r="N96" s="286"/>
    </row>
    <row r="97" spans="2:13" ht="12.75">
      <c r="B97" s="288"/>
      <c r="C97" s="286" t="s">
        <v>293</v>
      </c>
      <c r="D97" s="229" t="s">
        <v>211</v>
      </c>
      <c r="E97" s="328">
        <f>E36</f>
        <v>151.04166666666663</v>
      </c>
      <c r="F97" s="3"/>
      <c r="G97" s="4"/>
      <c r="H97" s="15"/>
      <c r="J97" s="123"/>
      <c r="K97" s="229"/>
      <c r="L97" s="317"/>
      <c r="M97" s="286"/>
    </row>
    <row r="98" spans="2:14" ht="12.75">
      <c r="B98" s="288"/>
      <c r="C98" s="286"/>
      <c r="D98" s="229" t="s">
        <v>46</v>
      </c>
      <c r="E98" s="273">
        <f>(E27-(E70/1000))/2</f>
        <v>1.3</v>
      </c>
      <c r="G98" s="312" t="s">
        <v>337</v>
      </c>
      <c r="H98" s="15"/>
      <c r="J98" s="235"/>
      <c r="K98" s="6"/>
      <c r="L98" s="7"/>
      <c r="M98" s="7"/>
      <c r="N98" s="51"/>
    </row>
    <row r="99" spans="2:14" ht="12.75">
      <c r="B99" s="288"/>
      <c r="C99" s="286"/>
      <c r="D99" s="229"/>
      <c r="E99" s="321"/>
      <c r="H99" s="15"/>
      <c r="J99" s="228"/>
      <c r="K99" s="54" t="s">
        <v>11</v>
      </c>
      <c r="L99" s="350">
        <v>1000</v>
      </c>
      <c r="M99" s="4"/>
      <c r="N99" s="15"/>
    </row>
    <row r="100" spans="2:14" ht="14.25">
      <c r="B100" s="288"/>
      <c r="C100" s="280" t="s">
        <v>103</v>
      </c>
      <c r="D100" s="229" t="s">
        <v>339</v>
      </c>
      <c r="E100" s="322">
        <f>(E97*(E98^2))/2</f>
        <v>127.63020833333331</v>
      </c>
      <c r="G100" s="312" t="s">
        <v>336</v>
      </c>
      <c r="H100" s="15"/>
      <c r="J100" s="228"/>
      <c r="K100" s="351" t="s">
        <v>3</v>
      </c>
      <c r="L100" s="11" t="s">
        <v>77</v>
      </c>
      <c r="M100" s="4"/>
      <c r="N100" s="15"/>
    </row>
    <row r="101" spans="2:14" ht="12.75">
      <c r="B101" s="288"/>
      <c r="C101" s="286" t="s">
        <v>346</v>
      </c>
      <c r="D101" s="229" t="s">
        <v>338</v>
      </c>
      <c r="E101" s="322">
        <f>1.5*E100</f>
        <v>191.44531249999997</v>
      </c>
      <c r="G101" s="312" t="s">
        <v>340</v>
      </c>
      <c r="H101" s="15"/>
      <c r="J101" s="286"/>
      <c r="K101" s="352">
        <f>IF(E103=15,(IF(E104=250,2.24,IF(E104=415,2.07,IF(E104=500,2)))),IF(E103=20,(IF(E104=250,2.98,IF(E104=415,2.76,IF(E104=500,2.66)))),IF(E103=25,(IF(E104=250,3.73,IF(E104=415,3.45,IF(E104=500,3.33)))),IF(E103=30,(IF(E104=250,4.47,IF(E104=415,4.14,IF(E104=500,3.99))))))))</f>
        <v>2.76</v>
      </c>
      <c r="L101" s="353">
        <f>(K101*L99*E111^2)/1000000</f>
        <v>816.78336</v>
      </c>
      <c r="M101" s="4"/>
      <c r="N101" s="15"/>
    </row>
    <row r="102" spans="2:14" ht="12.75">
      <c r="B102" s="288"/>
      <c r="C102" s="3"/>
      <c r="D102" s="4"/>
      <c r="E102" s="323"/>
      <c r="F102" s="3"/>
      <c r="G102" s="4"/>
      <c r="H102" s="15"/>
      <c r="J102" s="3"/>
      <c r="K102" s="10"/>
      <c r="L102" s="4"/>
      <c r="M102" s="4"/>
      <c r="N102" s="15"/>
    </row>
    <row r="103" spans="2:14" ht="12.75">
      <c r="B103" s="288"/>
      <c r="C103" s="3" t="s">
        <v>80</v>
      </c>
      <c r="D103" s="4" t="s">
        <v>41</v>
      </c>
      <c r="E103" s="191">
        <v>20</v>
      </c>
      <c r="F103" s="3"/>
      <c r="G103" s="4"/>
      <c r="H103" s="15"/>
      <c r="J103" s="3"/>
      <c r="K103" s="10"/>
      <c r="L103" s="4"/>
      <c r="M103" s="225"/>
      <c r="N103" s="252"/>
    </row>
    <row r="104" spans="2:14" ht="12.75">
      <c r="B104" s="288"/>
      <c r="C104" s="3" t="s">
        <v>54</v>
      </c>
      <c r="D104" s="4" t="s">
        <v>49</v>
      </c>
      <c r="E104" s="191">
        <v>415</v>
      </c>
      <c r="F104" s="3"/>
      <c r="G104" s="4"/>
      <c r="H104" s="15"/>
      <c r="J104" s="3"/>
      <c r="K104" s="11" t="s">
        <v>31</v>
      </c>
      <c r="L104" s="11" t="s">
        <v>30</v>
      </c>
      <c r="M104" s="234" t="s">
        <v>297</v>
      </c>
      <c r="N104" s="11" t="s">
        <v>33</v>
      </c>
    </row>
    <row r="105" spans="2:14" ht="12.75">
      <c r="B105" s="288"/>
      <c r="C105" s="3"/>
      <c r="D105" s="4"/>
      <c r="E105" s="324"/>
      <c r="F105" s="3"/>
      <c r="G105" s="4"/>
      <c r="H105" s="15"/>
      <c r="J105" s="286"/>
      <c r="K105" s="38">
        <f>(0.0035)/(0.0055+((0.87*E104)/(200*1000)))</f>
        <v>0.4791074911878444</v>
      </c>
      <c r="L105" s="39">
        <f>K105*E111</f>
        <v>260.63447520618735</v>
      </c>
      <c r="M105" s="232">
        <f>(0.36*K105*(1-(0.42*K105)))</f>
        <v>0.13777164582504264</v>
      </c>
      <c r="N105" s="11">
        <f>IF(E104=250,(IF(E103=15,4.4,IF(E103=20,5.15,IF(E103=25,5.9,IF(E103=30,6.65))))),IF(E104=415,(IF(E103=15,6.4,IF(E103=20,7.1,IF(E103=25,7.8,IF(E103=30,8.5))))),IF(E104=500,(IF(E103=15,6.4,IF(E103=20,7,IF(E103=25,7.7,IF(E103=30,8.3))))))))</f>
        <v>7.1</v>
      </c>
    </row>
    <row r="106" spans="2:14" ht="12.75">
      <c r="B106" s="288"/>
      <c r="C106" s="228" t="s">
        <v>298</v>
      </c>
      <c r="D106" s="229" t="s">
        <v>299</v>
      </c>
      <c r="E106" s="325">
        <f>SQRT((E101*1000000)/(M105*1000*E103))</f>
        <v>263.58910015629027</v>
      </c>
      <c r="F106" s="3"/>
      <c r="G106" s="143" t="s">
        <v>345</v>
      </c>
      <c r="H106" s="15"/>
      <c r="J106" s="4"/>
      <c r="K106" s="10"/>
      <c r="L106" s="4"/>
      <c r="M106" s="4"/>
      <c r="N106" s="15"/>
    </row>
    <row r="107" spans="2:14" ht="12.75">
      <c r="B107" s="288"/>
      <c r="C107" s="3"/>
      <c r="D107" s="4"/>
      <c r="E107" s="324"/>
      <c r="F107" s="3"/>
      <c r="G107" s="4"/>
      <c r="H107" s="15"/>
      <c r="J107" s="151"/>
      <c r="K107" s="19" t="s">
        <v>17</v>
      </c>
      <c r="L107" s="37"/>
      <c r="M107" s="37"/>
      <c r="N107" s="253"/>
    </row>
    <row r="108" spans="2:14" ht="12.75">
      <c r="B108" s="288"/>
      <c r="C108" s="123" t="s">
        <v>300</v>
      </c>
      <c r="D108" s="229" t="s">
        <v>312</v>
      </c>
      <c r="E108" s="326">
        <v>600</v>
      </c>
      <c r="F108" s="3"/>
      <c r="G108" s="4"/>
      <c r="H108" s="15"/>
      <c r="J108" s="151"/>
      <c r="K108" s="22" t="s">
        <v>7</v>
      </c>
      <c r="L108" s="214">
        <f>(0.87435*E104*E104)/(E103*10000)</f>
        <v>0.75292464375</v>
      </c>
      <c r="M108" s="17"/>
      <c r="N108" s="254"/>
    </row>
    <row r="109" spans="2:14" ht="12.75">
      <c r="B109" s="288"/>
      <c r="C109" s="235" t="s">
        <v>86</v>
      </c>
      <c r="D109" s="223" t="s">
        <v>8</v>
      </c>
      <c r="E109" s="190">
        <v>50</v>
      </c>
      <c r="F109" s="3"/>
      <c r="G109" s="4"/>
      <c r="H109" s="15"/>
      <c r="J109" s="151"/>
      <c r="K109" s="19" t="s">
        <v>0</v>
      </c>
      <c r="L109" s="213">
        <f>-(0.87*E104)/100</f>
        <v>-3.6105</v>
      </c>
      <c r="M109" s="4"/>
      <c r="N109" s="15"/>
    </row>
    <row r="110" spans="2:14" ht="12.75">
      <c r="B110" s="288"/>
      <c r="C110" s="228" t="s">
        <v>313</v>
      </c>
      <c r="D110" s="4" t="s">
        <v>38</v>
      </c>
      <c r="E110" s="327">
        <f>E109+O152+D118/2</f>
        <v>56</v>
      </c>
      <c r="F110" s="3"/>
      <c r="G110" s="4"/>
      <c r="H110" s="15"/>
      <c r="J110" s="151"/>
      <c r="K110" s="19" t="s">
        <v>8</v>
      </c>
      <c r="L110" s="213">
        <f>(E101*1000000)/(L99*E111*E111)</f>
        <v>0.6469145778141219</v>
      </c>
      <c r="M110" s="4"/>
      <c r="N110" s="15"/>
    </row>
    <row r="111" spans="2:14" ht="12.75">
      <c r="B111" s="288"/>
      <c r="C111" s="228" t="s">
        <v>314</v>
      </c>
      <c r="D111" s="229" t="s">
        <v>38</v>
      </c>
      <c r="E111" s="327">
        <f>E108-E110</f>
        <v>544</v>
      </c>
      <c r="F111" s="3"/>
      <c r="G111" s="4"/>
      <c r="H111" s="15"/>
      <c r="K111" s="20" t="s">
        <v>9</v>
      </c>
      <c r="L111" s="213">
        <f>(-L109-SQRT((L109*L109)-(4*L108*L110)))/(2*L108)</f>
        <v>0.18642333912791673</v>
      </c>
      <c r="M111" s="4"/>
      <c r="N111" s="15"/>
    </row>
    <row r="112" spans="2:14" ht="12.75">
      <c r="B112" s="288"/>
      <c r="C112" s="3"/>
      <c r="D112" s="229"/>
      <c r="E112" s="4"/>
      <c r="F112" s="3"/>
      <c r="G112" s="4"/>
      <c r="H112" s="15"/>
      <c r="K112" s="12" t="s">
        <v>5</v>
      </c>
      <c r="L112" s="21">
        <f>(L111*L99*E111)/100</f>
        <v>1014.142964855867</v>
      </c>
      <c r="M112" s="4"/>
      <c r="N112" s="15"/>
    </row>
    <row r="113" spans="2:14" ht="12.75">
      <c r="B113" s="288"/>
      <c r="C113" s="1387" t="s">
        <v>343</v>
      </c>
      <c r="D113" s="1245" t="s">
        <v>321</v>
      </c>
      <c r="E113" s="1385"/>
      <c r="F113" s="1386"/>
      <c r="G113" s="334"/>
      <c r="H113" s="335"/>
      <c r="K113" s="10"/>
      <c r="L113" s="4"/>
      <c r="M113" s="4"/>
      <c r="N113" s="15"/>
    </row>
    <row r="114" spans="2:14" ht="15">
      <c r="B114" s="288"/>
      <c r="C114" s="1388"/>
      <c r="D114" s="198" t="s">
        <v>280</v>
      </c>
      <c r="E114" s="198" t="s">
        <v>281</v>
      </c>
      <c r="F114" s="198" t="s">
        <v>286</v>
      </c>
      <c r="G114" s="286"/>
      <c r="H114" s="287"/>
      <c r="K114" s="10"/>
      <c r="L114" s="4"/>
      <c r="M114" s="4"/>
      <c r="N114" s="15"/>
    </row>
    <row r="115" spans="2:14" ht="12.75" customHeight="1">
      <c r="B115" s="288"/>
      <c r="C115" s="249">
        <f>L122</f>
        <v>1014.142964855867</v>
      </c>
      <c r="D115" s="246">
        <f>(((PI()*12^2)/4)/C115)*1000</f>
        <v>111.52011052535012</v>
      </c>
      <c r="E115" s="246">
        <f>(((PI()*16^2)/4)/C115)*1000</f>
        <v>198.25797426728911</v>
      </c>
      <c r="F115" s="246">
        <f>(((PI()*20^2)/4)/C115)*1000</f>
        <v>309.7780847926392</v>
      </c>
      <c r="G115" s="286"/>
      <c r="H115" s="287"/>
      <c r="K115" s="6" t="s">
        <v>29</v>
      </c>
      <c r="L115" s="24">
        <f>(0.85*100)/E104</f>
        <v>0.20481927710843373</v>
      </c>
      <c r="M115" s="4"/>
      <c r="N115" s="15"/>
    </row>
    <row r="116" spans="2:14" ht="12.75">
      <c r="B116" s="288"/>
      <c r="C116" s="1396">
        <f>IF(C115=L119,"Minimum Ast required across x direcion","")</f>
      </c>
      <c r="D116" s="1396"/>
      <c r="E116" s="276"/>
      <c r="F116" s="276"/>
      <c r="G116" s="276"/>
      <c r="H116" s="277"/>
      <c r="K116" s="10" t="s">
        <v>5</v>
      </c>
      <c r="L116" s="14">
        <f>IF(E101&lt;L101,L112,L119)</f>
        <v>1014.142964855867</v>
      </c>
      <c r="M116" s="4"/>
      <c r="N116" s="15"/>
    </row>
    <row r="117" spans="2:14" ht="12.75">
      <c r="B117" s="288"/>
      <c r="C117" s="3"/>
      <c r="D117" s="4"/>
      <c r="E117" s="4"/>
      <c r="F117" s="3"/>
      <c r="G117" s="4"/>
      <c r="H117" s="15"/>
      <c r="K117" s="10"/>
      <c r="L117" s="14"/>
      <c r="M117" s="4"/>
      <c r="N117" s="15"/>
    </row>
    <row r="118" spans="2:14" ht="12.75">
      <c r="B118" s="288"/>
      <c r="C118" s="272" t="s">
        <v>341</v>
      </c>
      <c r="D118" s="247">
        <v>12</v>
      </c>
      <c r="E118" s="248">
        <v>100</v>
      </c>
      <c r="F118" s="320">
        <f>((((PI()*D118^2)/4)*1000)/E118)</f>
        <v>1130.9733552923256</v>
      </c>
      <c r="G118" s="318">
        <f>IF(C115&gt;F118,"X","")</f>
      </c>
      <c r="H118" s="274"/>
      <c r="K118" s="10"/>
      <c r="L118" s="15"/>
      <c r="M118" s="4"/>
      <c r="N118" s="15"/>
    </row>
    <row r="119" spans="2:14" ht="12.75">
      <c r="B119" s="288"/>
      <c r="C119" s="272" t="s">
        <v>344</v>
      </c>
      <c r="D119" s="247">
        <v>8</v>
      </c>
      <c r="E119" s="248">
        <v>175</v>
      </c>
      <c r="F119" s="320">
        <f>((((PI()*D119^2)/4)*1000)/E119)</f>
        <v>287.23132832820966</v>
      </c>
      <c r="G119" s="319"/>
      <c r="H119" s="274"/>
      <c r="K119" s="10" t="s">
        <v>15</v>
      </c>
      <c r="L119" s="14">
        <f>(0.12*L99*E111)/100</f>
        <v>652.8</v>
      </c>
      <c r="M119" s="4"/>
      <c r="N119" s="15"/>
    </row>
    <row r="120" spans="2:14" ht="12.75">
      <c r="B120" s="298"/>
      <c r="C120" s="299"/>
      <c r="D120" s="299"/>
      <c r="E120" s="299"/>
      <c r="F120" s="299"/>
      <c r="G120" s="299"/>
      <c r="H120" s="300"/>
      <c r="K120" s="10" t="s">
        <v>16</v>
      </c>
      <c r="L120" s="15">
        <f>0.04*L99*E111</f>
        <v>21760</v>
      </c>
      <c r="M120" s="4"/>
      <c r="N120" s="15"/>
    </row>
    <row r="121" spans="11:14" ht="12.75">
      <c r="K121" s="10"/>
      <c r="L121" s="15"/>
      <c r="M121" s="4"/>
      <c r="N121" s="15"/>
    </row>
    <row r="122" spans="2:14" ht="12.75">
      <c r="B122" s="6"/>
      <c r="C122" s="259"/>
      <c r="D122" s="270"/>
      <c r="E122" s="258"/>
      <c r="F122" s="259"/>
      <c r="G122" s="260"/>
      <c r="H122" s="51"/>
      <c r="K122" s="10" t="s">
        <v>5</v>
      </c>
      <c r="L122" s="14">
        <f>IF(L116&gt;L119,L116,L119)</f>
        <v>1014.142964855867</v>
      </c>
      <c r="M122" s="4"/>
      <c r="N122" s="15"/>
    </row>
    <row r="123" spans="2:14" ht="12.75">
      <c r="B123" s="10">
        <v>4</v>
      </c>
      <c r="C123" s="1397" t="s">
        <v>347</v>
      </c>
      <c r="D123" s="1397"/>
      <c r="E123" s="68"/>
      <c r="F123" s="219"/>
      <c r="G123" s="32"/>
      <c r="H123" s="15"/>
      <c r="K123" s="8"/>
      <c r="L123" s="13"/>
      <c r="M123" s="9"/>
      <c r="N123" s="52"/>
    </row>
    <row r="124" spans="2:14" ht="12.75" customHeight="1">
      <c r="B124" s="10"/>
      <c r="C124" s="3"/>
      <c r="D124" s="217"/>
      <c r="E124" s="48"/>
      <c r="F124" s="217"/>
      <c r="G124" s="217"/>
      <c r="H124" s="15"/>
      <c r="K124" s="6" t="s">
        <v>27</v>
      </c>
      <c r="L124" s="227">
        <f>(C115*100)/(1000*E111)</f>
        <v>0.18642333912791673</v>
      </c>
      <c r="M124" s="4"/>
      <c r="N124" s="255"/>
    </row>
    <row r="125" spans="2:14" ht="15">
      <c r="B125" s="10"/>
      <c r="C125" s="3"/>
      <c r="D125" s="4" t="s">
        <v>301</v>
      </c>
      <c r="E125" s="242">
        <f>(1.5*E36)*(E98-(E111/1000))</f>
        <v>171.28124999999997</v>
      </c>
      <c r="F125" s="3"/>
      <c r="G125" s="4"/>
      <c r="H125" s="15"/>
      <c r="K125" s="25" t="s">
        <v>26</v>
      </c>
      <c r="L125" s="26">
        <f>(0.8*E103)/(6.89*L124)</f>
        <v>12.456627515922728</v>
      </c>
      <c r="M125" s="4"/>
      <c r="N125" s="15"/>
    </row>
    <row r="126" spans="2:14" ht="12.75">
      <c r="B126" s="10"/>
      <c r="C126" s="3"/>
      <c r="D126" s="229" t="s">
        <v>309</v>
      </c>
      <c r="E126" s="243">
        <f>(E125*1000)/(1000*E111)</f>
        <v>0.3148552389705882</v>
      </c>
      <c r="F126" s="228"/>
      <c r="G126" s="4"/>
      <c r="H126" s="15"/>
      <c r="K126" s="10"/>
      <c r="L126" s="4"/>
      <c r="M126" s="4"/>
      <c r="N126" s="15"/>
    </row>
    <row r="127" spans="2:14" ht="12.75">
      <c r="B127" s="10"/>
      <c r="C127" s="3"/>
      <c r="D127" s="4"/>
      <c r="E127" s="240"/>
      <c r="F127" s="3"/>
      <c r="G127" s="4"/>
      <c r="H127" s="15"/>
      <c r="K127" s="10"/>
      <c r="L127" s="4"/>
      <c r="M127" s="4"/>
      <c r="N127" s="15"/>
    </row>
    <row r="128" spans="2:14" ht="12.75">
      <c r="B128" s="10"/>
      <c r="C128" s="3"/>
      <c r="D128" s="229" t="s">
        <v>308</v>
      </c>
      <c r="E128" s="243">
        <f>((0.85*SQRT(0.8*E103)*(SQRT(1+(5*L125))-1))/(6*L125))</f>
        <v>0.31639432809694973</v>
      </c>
      <c r="F128" s="228"/>
      <c r="G128" s="55"/>
      <c r="H128" s="15"/>
      <c r="K128" s="256" t="s">
        <v>306</v>
      </c>
      <c r="L128" s="4">
        <f>0.5+((MIN(E19:E20)*1000)/(MAX(E19:E20)*1000))</f>
        <v>1.5</v>
      </c>
      <c r="M128" s="4"/>
      <c r="N128" s="15"/>
    </row>
    <row r="129" spans="2:14" ht="12.75">
      <c r="B129" s="10"/>
      <c r="C129" s="212"/>
      <c r="D129" s="4"/>
      <c r="E129" s="4"/>
      <c r="F129" s="3"/>
      <c r="G129" s="55"/>
      <c r="H129" s="15"/>
      <c r="K129" s="257" t="s">
        <v>307</v>
      </c>
      <c r="L129" s="9">
        <f>IF(L128&gt;1,1,L128)</f>
        <v>1</v>
      </c>
      <c r="M129" s="9"/>
      <c r="N129" s="52"/>
    </row>
    <row r="130" spans="2:8" ht="12.75">
      <c r="B130" s="10"/>
      <c r="C130" s="3"/>
      <c r="D130" s="1398" t="str">
        <f>IF(E126&lt;E128,"Shear Check OK","Increase Depth")</f>
        <v>Shear Check OK</v>
      </c>
      <c r="E130" s="1398"/>
      <c r="F130" s="237"/>
      <c r="G130" s="55"/>
      <c r="H130" s="15"/>
    </row>
    <row r="131" spans="2:8" ht="12.75">
      <c r="B131" s="298"/>
      <c r="C131" s="299"/>
      <c r="D131" s="299"/>
      <c r="E131" s="299"/>
      <c r="F131" s="299"/>
      <c r="G131" s="299"/>
      <c r="H131" s="300"/>
    </row>
    <row r="133" spans="2:8" ht="12.75">
      <c r="B133" s="310"/>
      <c r="C133" s="284"/>
      <c r="D133" s="284"/>
      <c r="E133" s="284"/>
      <c r="F133" s="284"/>
      <c r="G133" s="284"/>
      <c r="H133" s="285"/>
    </row>
    <row r="134" spans="2:8" ht="12.75">
      <c r="B134" s="256">
        <v>5</v>
      </c>
      <c r="C134" s="286"/>
      <c r="D134" s="286"/>
      <c r="E134" s="286"/>
      <c r="F134" s="286"/>
      <c r="G134" s="286"/>
      <c r="H134" s="287"/>
    </row>
    <row r="135" spans="2:8" ht="12.75">
      <c r="B135" s="288"/>
      <c r="C135" s="286"/>
      <c r="D135" s="286"/>
      <c r="E135" s="329">
        <f>E26</f>
        <v>6</v>
      </c>
      <c r="F135" s="286"/>
      <c r="G135" s="286"/>
      <c r="H135" s="287"/>
    </row>
    <row r="136" spans="2:8" ht="12.75">
      <c r="B136" s="288"/>
      <c r="C136" s="286"/>
      <c r="D136" s="286"/>
      <c r="E136" s="286"/>
      <c r="F136" s="286"/>
      <c r="G136" s="286"/>
      <c r="H136" s="287"/>
    </row>
    <row r="137" spans="2:8" ht="12.75">
      <c r="B137" s="288"/>
      <c r="C137" s="286"/>
      <c r="D137" s="286"/>
      <c r="E137" s="286"/>
      <c r="F137" s="286"/>
      <c r="G137" s="286"/>
      <c r="H137" s="287"/>
    </row>
    <row r="138" spans="2:8" ht="12.75">
      <c r="B138" s="288"/>
      <c r="C138" s="286"/>
      <c r="D138" s="286"/>
      <c r="E138" s="286"/>
      <c r="F138" s="286"/>
      <c r="G138" s="286"/>
      <c r="H138" s="287"/>
    </row>
    <row r="139" spans="2:8" ht="12.75">
      <c r="B139" s="288"/>
      <c r="C139" s="286"/>
      <c r="D139" s="286"/>
      <c r="E139" s="286"/>
      <c r="F139" s="286"/>
      <c r="G139" s="286"/>
      <c r="H139" s="287"/>
    </row>
    <row r="140" spans="2:8" ht="12.75">
      <c r="B140" s="288"/>
      <c r="C140" s="286"/>
      <c r="D140" s="286"/>
      <c r="E140" s="286"/>
      <c r="F140" s="286"/>
      <c r="G140" s="286"/>
      <c r="H140" s="287"/>
    </row>
    <row r="141" spans="2:8" ht="12.75">
      <c r="B141" s="288"/>
      <c r="C141" s="286"/>
      <c r="D141" s="286"/>
      <c r="E141" s="286"/>
      <c r="F141" s="286"/>
      <c r="G141" s="286"/>
      <c r="H141" s="287"/>
    </row>
    <row r="142" spans="2:8" ht="12.75">
      <c r="B142" s="288"/>
      <c r="C142" s="286"/>
      <c r="D142" s="286"/>
      <c r="E142" s="286"/>
      <c r="F142" s="286"/>
      <c r="G142" s="286"/>
      <c r="H142" s="287"/>
    </row>
    <row r="143" spans="2:8" ht="12.75">
      <c r="B143" s="288"/>
      <c r="C143" s="286"/>
      <c r="D143" s="286"/>
      <c r="E143" s="286"/>
      <c r="F143" s="286"/>
      <c r="G143" s="286"/>
      <c r="H143" s="287"/>
    </row>
    <row r="144" spans="2:8" ht="12.75">
      <c r="B144" s="330">
        <f>E27</f>
        <v>3.2</v>
      </c>
      <c r="C144" s="286"/>
      <c r="D144" s="286"/>
      <c r="E144" s="286"/>
      <c r="F144" s="286"/>
      <c r="G144" s="286"/>
      <c r="H144" s="331">
        <f>E70</f>
        <v>600</v>
      </c>
    </row>
    <row r="145" spans="1:9" ht="12.75">
      <c r="A145" s="286"/>
      <c r="B145" s="288"/>
      <c r="C145" s="286"/>
      <c r="D145" s="289"/>
      <c r="E145" s="286"/>
      <c r="F145" s="286"/>
      <c r="G145" s="286"/>
      <c r="H145" s="287"/>
      <c r="I145" s="286"/>
    </row>
    <row r="146" spans="1:9" ht="12.75">
      <c r="A146" s="286"/>
      <c r="B146" s="288"/>
      <c r="C146" s="286"/>
      <c r="D146" s="296"/>
      <c r="E146" s="286"/>
      <c r="F146" s="286"/>
      <c r="G146" s="286"/>
      <c r="H146" s="287"/>
      <c r="I146" s="286"/>
    </row>
    <row r="147" spans="1:8" ht="12.75">
      <c r="A147" s="286"/>
      <c r="B147" s="288"/>
      <c r="C147" s="286"/>
      <c r="D147" s="296"/>
      <c r="E147" s="286"/>
      <c r="F147" s="286"/>
      <c r="G147" s="286"/>
      <c r="H147" s="287"/>
    </row>
    <row r="148" spans="1:9" ht="12.75">
      <c r="A148" s="286"/>
      <c r="B148" s="288"/>
      <c r="C148" s="286"/>
      <c r="D148" s="286"/>
      <c r="E148" s="1403"/>
      <c r="F148" s="1404"/>
      <c r="G148" s="1404"/>
      <c r="H148" s="287"/>
      <c r="I148" s="286"/>
    </row>
    <row r="149" spans="1:9" ht="12.75">
      <c r="A149" s="286"/>
      <c r="B149" s="288"/>
      <c r="C149" s="286"/>
      <c r="D149" s="286"/>
      <c r="E149" s="286"/>
      <c r="F149" s="286"/>
      <c r="G149" s="286"/>
      <c r="H149" s="287"/>
      <c r="I149" s="286"/>
    </row>
    <row r="150" spans="1:9" ht="12.75">
      <c r="A150" s="286"/>
      <c r="B150" s="288"/>
      <c r="C150" s="286"/>
      <c r="D150" s="286"/>
      <c r="E150" s="286"/>
      <c r="F150" s="286"/>
      <c r="G150" s="286"/>
      <c r="H150" s="287"/>
      <c r="I150" s="286"/>
    </row>
    <row r="151" spans="1:9" ht="12.75">
      <c r="A151" s="286"/>
      <c r="B151" s="288"/>
      <c r="C151" s="286"/>
      <c r="D151" s="296"/>
      <c r="E151" s="286"/>
      <c r="F151" s="286"/>
      <c r="G151" s="286"/>
      <c r="H151" s="287"/>
      <c r="I151" s="286"/>
    </row>
    <row r="152" spans="1:9" ht="12.75">
      <c r="A152" s="286"/>
      <c r="B152" s="288"/>
      <c r="C152" s="360">
        <f>C66</f>
        <v>1.6905844155844156</v>
      </c>
      <c r="D152" s="295"/>
      <c r="E152" s="333">
        <f>E66</f>
        <v>2.725</v>
      </c>
      <c r="F152" s="295"/>
      <c r="G152" s="360">
        <f>G66</f>
        <v>1.5844155844155843</v>
      </c>
      <c r="H152" s="311"/>
      <c r="I152" s="286"/>
    </row>
    <row r="153" spans="1:9" ht="12.75">
      <c r="A153" s="286"/>
      <c r="B153" s="288"/>
      <c r="C153" s="286"/>
      <c r="D153" s="286"/>
      <c r="E153" s="286"/>
      <c r="F153" s="286"/>
      <c r="G153" s="286"/>
      <c r="H153" s="287"/>
      <c r="I153" s="286"/>
    </row>
    <row r="154" spans="1:9" ht="12.75">
      <c r="A154" s="286"/>
      <c r="B154" s="288"/>
      <c r="C154" s="286"/>
      <c r="D154" s="286"/>
      <c r="E154" s="286"/>
      <c r="F154" s="286"/>
      <c r="G154" s="286"/>
      <c r="H154" s="287"/>
      <c r="I154" s="286"/>
    </row>
    <row r="155" spans="1:9" ht="12.75">
      <c r="A155" s="286"/>
      <c r="B155" s="288"/>
      <c r="C155" s="286"/>
      <c r="D155" s="1401">
        <f>E70</f>
        <v>600</v>
      </c>
      <c r="E155" s="1401"/>
      <c r="F155" s="286"/>
      <c r="G155" s="286"/>
      <c r="H155" s="287"/>
      <c r="I155" s="286"/>
    </row>
    <row r="156" spans="1:9" ht="12.75">
      <c r="A156" s="286"/>
      <c r="B156" s="288"/>
      <c r="C156" s="286"/>
      <c r="D156" s="286"/>
      <c r="E156" s="286"/>
      <c r="F156" s="286"/>
      <c r="G156" s="286"/>
      <c r="H156" s="287"/>
      <c r="I156" s="286"/>
    </row>
    <row r="157" spans="2:8" ht="12.75">
      <c r="B157" s="10"/>
      <c r="C157" s="3"/>
      <c r="D157" s="4"/>
      <c r="E157" s="4"/>
      <c r="F157" s="3"/>
      <c r="G157" s="4"/>
      <c r="H157" s="15"/>
    </row>
    <row r="158" spans="2:8" ht="12.75">
      <c r="B158" s="347">
        <f>IF(E87=0,"",E87)</f>
        <v>6</v>
      </c>
      <c r="C158" s="346">
        <f>IF(D87="-","",D87)</f>
        <v>25</v>
      </c>
      <c r="D158" s="4"/>
      <c r="E158" s="4"/>
      <c r="F158" s="3"/>
      <c r="G158" s="4"/>
      <c r="H158" s="15"/>
    </row>
    <row r="159" spans="2:8" ht="12.75">
      <c r="B159" s="347">
        <f>IF(E88=0,"",E88)</f>
        <v>6</v>
      </c>
      <c r="C159" s="346">
        <f>IF(D88="-","",D88)</f>
        <v>20</v>
      </c>
      <c r="D159" s="1400">
        <f>E71</f>
        <v>900</v>
      </c>
      <c r="E159" s="4"/>
      <c r="F159" s="348">
        <f>IF(E79=0,"",E79)</f>
        <v>6</v>
      </c>
      <c r="G159" s="346">
        <f>IF(D79="-","",D79)</f>
        <v>25</v>
      </c>
      <c r="H159" s="15"/>
    </row>
    <row r="160" spans="2:8" ht="12.75">
      <c r="B160" s="347">
        <f>IF(E89=0,"",E89)</f>
      </c>
      <c r="C160" s="346">
        <f>IF(D89="-","",D89)</f>
      </c>
      <c r="D160" s="1400"/>
      <c r="E160" s="4"/>
      <c r="F160" s="348">
        <f>IF(E80=0,"",E80)</f>
        <v>6</v>
      </c>
      <c r="G160" s="346">
        <f>IF(D80="-","",D80)</f>
        <v>25</v>
      </c>
      <c r="H160" s="15"/>
    </row>
    <row r="161" spans="2:8" ht="12.75">
      <c r="B161" s="10"/>
      <c r="C161" s="3"/>
      <c r="D161" s="1400"/>
      <c r="E161" s="4"/>
      <c r="F161" s="348">
        <f>IF(E81=0,"",E81)</f>
      </c>
      <c r="G161" s="346">
        <f>IF(D81="-","",D81)</f>
      </c>
      <c r="H161" s="15"/>
    </row>
    <row r="162" spans="2:8" ht="12.75">
      <c r="B162" s="10"/>
      <c r="C162" s="3"/>
      <c r="D162" s="1400"/>
      <c r="E162" s="4"/>
      <c r="F162" s="3"/>
      <c r="G162" s="4"/>
      <c r="H162" s="15"/>
    </row>
    <row r="163" spans="2:8" ht="12.75">
      <c r="B163" s="10"/>
      <c r="C163" s="3"/>
      <c r="D163" s="286"/>
      <c r="E163" s="4"/>
      <c r="F163" s="3"/>
      <c r="G163" s="4"/>
      <c r="H163" s="15"/>
    </row>
    <row r="164" spans="2:8" ht="12.75">
      <c r="B164" s="10"/>
      <c r="C164" s="3"/>
      <c r="D164" s="286"/>
      <c r="E164" s="4"/>
      <c r="F164" s="3"/>
      <c r="G164" s="1399">
        <f>E108</f>
        <v>600</v>
      </c>
      <c r="H164" s="15"/>
    </row>
    <row r="165" spans="2:8" ht="12.75">
      <c r="B165" s="10"/>
      <c r="C165" s="3"/>
      <c r="D165" s="286"/>
      <c r="E165" s="4"/>
      <c r="F165" s="3"/>
      <c r="G165" s="1399"/>
      <c r="H165" s="15"/>
    </row>
    <row r="166" spans="2:8" ht="12.75">
      <c r="B166" s="10"/>
      <c r="C166" s="3"/>
      <c r="D166" s="286"/>
      <c r="E166" s="4"/>
      <c r="F166" s="3"/>
      <c r="G166" s="1399"/>
      <c r="H166" s="15"/>
    </row>
    <row r="167" spans="2:8" ht="12.75">
      <c r="B167" s="10"/>
      <c r="C167" s="1402">
        <f>IF(G164&lt;450,150,IF(G164&lt;600,200,IF(G164&lt;750,250,IF(G164&lt;900,300))))</f>
        <v>250</v>
      </c>
      <c r="D167" s="4"/>
      <c r="E167" s="4"/>
      <c r="F167" s="3"/>
      <c r="G167" s="1399"/>
      <c r="H167" s="15"/>
    </row>
    <row r="168" spans="2:8" ht="12.75">
      <c r="B168" s="10"/>
      <c r="C168" s="1402"/>
      <c r="D168" s="332"/>
      <c r="E168" s="4"/>
      <c r="F168" s="3"/>
      <c r="G168" s="4"/>
      <c r="H168" s="15"/>
    </row>
    <row r="169" spans="2:8" ht="12.75">
      <c r="B169" s="10"/>
      <c r="C169" s="3"/>
      <c r="D169" s="4"/>
      <c r="E169" s="4"/>
      <c r="F169" s="3"/>
      <c r="G169" s="4"/>
      <c r="H169" s="15"/>
    </row>
    <row r="170" spans="2:8" ht="12.75">
      <c r="B170" s="10"/>
      <c r="C170" s="3"/>
      <c r="D170" s="4"/>
      <c r="E170" s="4"/>
      <c r="F170" s="3"/>
      <c r="G170" s="4"/>
      <c r="H170" s="15"/>
    </row>
    <row r="171" spans="2:8" ht="12.75">
      <c r="B171" s="10"/>
      <c r="C171" s="3"/>
      <c r="D171" s="261">
        <f>D119</f>
        <v>8</v>
      </c>
      <c r="E171" s="262">
        <f>E119</f>
        <v>175</v>
      </c>
      <c r="F171" s="3"/>
      <c r="G171" s="261">
        <f>D118</f>
        <v>12</v>
      </c>
      <c r="H171" s="268">
        <f>E118</f>
        <v>100</v>
      </c>
    </row>
    <row r="172" spans="2:8" ht="12.75">
      <c r="B172" s="10"/>
      <c r="C172" s="3"/>
      <c r="D172" s="4"/>
      <c r="E172" s="4"/>
      <c r="F172" s="3"/>
      <c r="G172" s="4"/>
      <c r="H172" s="15"/>
    </row>
    <row r="173" spans="2:8" ht="12.75">
      <c r="B173" s="288"/>
      <c r="C173" s="286"/>
      <c r="D173" s="286"/>
      <c r="E173" s="286"/>
      <c r="F173" s="286"/>
      <c r="G173" s="286"/>
      <c r="H173" s="287"/>
    </row>
    <row r="174" spans="2:8" ht="12.75">
      <c r="B174" s="288"/>
      <c r="C174" s="286"/>
      <c r="D174" s="286"/>
      <c r="E174" s="286"/>
      <c r="F174" s="286"/>
      <c r="G174" s="286"/>
      <c r="H174" s="287"/>
    </row>
    <row r="175" spans="2:8" ht="12.75">
      <c r="B175" s="288"/>
      <c r="C175" s="286"/>
      <c r="D175" s="286"/>
      <c r="E175" s="354">
        <f aca="true" t="shared" si="0" ref="E175:F177">B158</f>
        <v>6</v>
      </c>
      <c r="F175" s="346">
        <f t="shared" si="0"/>
        <v>25</v>
      </c>
      <c r="G175" s="286"/>
      <c r="H175" s="287"/>
    </row>
    <row r="176" spans="2:8" ht="12.75">
      <c r="B176" s="288"/>
      <c r="C176" s="286"/>
      <c r="D176" s="286"/>
      <c r="E176" s="354">
        <f t="shared" si="0"/>
        <v>6</v>
      </c>
      <c r="F176" s="346">
        <f t="shared" si="0"/>
        <v>20</v>
      </c>
      <c r="G176" s="286"/>
      <c r="H176" s="287"/>
    </row>
    <row r="177" spans="2:8" ht="12.75">
      <c r="B177" s="288"/>
      <c r="C177" s="286"/>
      <c r="D177" s="286"/>
      <c r="E177" s="354">
        <f t="shared" si="0"/>
      </c>
      <c r="F177" s="346">
        <f t="shared" si="0"/>
      </c>
      <c r="G177" s="286"/>
      <c r="H177" s="287"/>
    </row>
    <row r="178" spans="2:8" ht="12.75">
      <c r="B178" s="288"/>
      <c r="C178" s="286"/>
      <c r="D178" s="286"/>
      <c r="E178" s="286"/>
      <c r="F178" s="286"/>
      <c r="G178" s="286"/>
      <c r="H178" s="287"/>
    </row>
    <row r="179" spans="2:8" ht="12.75">
      <c r="B179" s="288"/>
      <c r="C179" s="286"/>
      <c r="D179" s="286"/>
      <c r="E179" s="286"/>
      <c r="F179" s="286"/>
      <c r="G179" s="286"/>
      <c r="H179" s="287"/>
    </row>
    <row r="180" spans="2:8" ht="12.75">
      <c r="B180" s="288"/>
      <c r="C180" s="286"/>
      <c r="D180" s="286"/>
      <c r="E180" s="286"/>
      <c r="F180" s="286"/>
      <c r="G180" s="286"/>
      <c r="H180" s="287"/>
    </row>
    <row r="181" spans="2:8" ht="12.75">
      <c r="B181" s="288"/>
      <c r="C181" s="286"/>
      <c r="D181" s="286"/>
      <c r="E181" s="286"/>
      <c r="F181" s="286"/>
      <c r="G181" s="286"/>
      <c r="H181" s="287"/>
    </row>
    <row r="182" spans="2:8" ht="12.75">
      <c r="B182" s="288"/>
      <c r="C182" s="286"/>
      <c r="D182" s="286"/>
      <c r="E182" s="286"/>
      <c r="F182" s="286"/>
      <c r="G182" s="286"/>
      <c r="H182" s="287"/>
    </row>
    <row r="183" spans="2:8" ht="12.75">
      <c r="B183" s="288"/>
      <c r="C183" s="286"/>
      <c r="D183" s="286"/>
      <c r="E183" s="286"/>
      <c r="F183" s="286"/>
      <c r="G183" s="286"/>
      <c r="H183" s="287"/>
    </row>
    <row r="184" spans="2:8" ht="12.75">
      <c r="B184" s="288"/>
      <c r="C184" s="286"/>
      <c r="D184" s="286"/>
      <c r="E184" s="286"/>
      <c r="F184" s="286"/>
      <c r="G184" s="286"/>
      <c r="H184" s="287"/>
    </row>
    <row r="185" spans="2:8" ht="12.75">
      <c r="B185" s="288"/>
      <c r="C185" s="286"/>
      <c r="D185" s="286"/>
      <c r="E185" s="286"/>
      <c r="F185" s="286"/>
      <c r="G185" s="286"/>
      <c r="H185" s="287"/>
    </row>
    <row r="186" spans="2:8" ht="12.75">
      <c r="B186" s="288"/>
      <c r="C186" s="286"/>
      <c r="D186" s="286"/>
      <c r="E186" s="286"/>
      <c r="F186" s="286"/>
      <c r="G186" s="286"/>
      <c r="H186" s="287"/>
    </row>
    <row r="187" spans="2:8" ht="12.75">
      <c r="B187" s="288"/>
      <c r="C187" s="286"/>
      <c r="D187" s="286"/>
      <c r="E187" s="354">
        <f aca="true" t="shared" si="1" ref="E187:F189">F159</f>
        <v>6</v>
      </c>
      <c r="F187" s="346">
        <f t="shared" si="1"/>
        <v>25</v>
      </c>
      <c r="G187" s="286"/>
      <c r="H187" s="287"/>
    </row>
    <row r="188" spans="2:8" ht="12.75">
      <c r="B188" s="288"/>
      <c r="C188" s="286"/>
      <c r="D188" s="286"/>
      <c r="E188" s="354">
        <f t="shared" si="1"/>
        <v>6</v>
      </c>
      <c r="F188" s="346">
        <f t="shared" si="1"/>
        <v>25</v>
      </c>
      <c r="G188" s="286"/>
      <c r="H188" s="287"/>
    </row>
    <row r="189" spans="2:8" ht="12.75">
      <c r="B189" s="298"/>
      <c r="C189" s="299"/>
      <c r="D189" s="299"/>
      <c r="E189" s="355">
        <f t="shared" si="1"/>
      </c>
      <c r="F189" s="356">
        <f t="shared" si="1"/>
      </c>
      <c r="G189" s="299"/>
      <c r="H189" s="300"/>
    </row>
  </sheetData>
  <sheetProtection/>
  <protectedRanges>
    <protectedRange sqref="L97" name="Inputs_1_1"/>
    <protectedRange sqref="D118:D119 L99 E108:E109 E103:E104" name="Inputs_1_2"/>
    <protectedRange sqref="E125 C129" name="Inputs_1_3"/>
    <protectedRange sqref="D79:E81 D87:E89" name="Inputs"/>
  </protectedRanges>
  <mergeCells count="18">
    <mergeCell ref="B2:H2"/>
    <mergeCell ref="C116:D116"/>
    <mergeCell ref="C123:D123"/>
    <mergeCell ref="D130:E130"/>
    <mergeCell ref="G164:G167"/>
    <mergeCell ref="D159:D162"/>
    <mergeCell ref="D155:E155"/>
    <mergeCell ref="C167:C168"/>
    <mergeCell ref="E148:G148"/>
    <mergeCell ref="K25:K26"/>
    <mergeCell ref="L34:M34"/>
    <mergeCell ref="C26:C27"/>
    <mergeCell ref="D38:E38"/>
    <mergeCell ref="D113:F113"/>
    <mergeCell ref="C113:C114"/>
    <mergeCell ref="C82:E82"/>
    <mergeCell ref="C83:E83"/>
    <mergeCell ref="C90:E90"/>
  </mergeCells>
  <dataValidations count="6">
    <dataValidation type="list" showInputMessage="1" showErrorMessage="1" sqref="D119">
      <formula1>" -,8,10,12,16,20"</formula1>
    </dataValidation>
    <dataValidation type="list" allowBlank="1" showInputMessage="1" showErrorMessage="1" sqref="E104">
      <formula1>"250,415,500"</formula1>
    </dataValidation>
    <dataValidation type="list" allowBlank="1" showInputMessage="1" showErrorMessage="1" sqref="E103">
      <formula1>"15,20,25,30"</formula1>
    </dataValidation>
    <dataValidation type="list" showInputMessage="1" showErrorMessage="1" sqref="D118">
      <formula1>" -,12,16,20"</formula1>
    </dataValidation>
    <dataValidation type="list" showInputMessage="1" showErrorMessage="1" sqref="D79 D87">
      <formula1>" -,8,10,12,16,20,25,32"</formula1>
    </dataValidation>
    <dataValidation type="list" allowBlank="1" showInputMessage="1" showErrorMessage="1" sqref="D80:D81 D88:D89">
      <formula1>"-,8,10,12,16,20,25,32"</formula1>
    </dataValidation>
  </dataValidations>
  <printOptions horizontalCentered="1"/>
  <pageMargins left="0.25" right="0.25" top="0.75" bottom="0.75" header="0.5" footer="0.5"/>
  <pageSetup horizontalDpi="600" verticalDpi="600" orientation="portrait" paperSize="9" scale="95" r:id="rId4"/>
  <rowBreaks count="3" manualBreakCount="3">
    <brk id="39" max="255" man="1"/>
    <brk id="91" max="255" man="1"/>
    <brk id="131" max="255" man="1"/>
  </rowBreak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3.421875" style="5" customWidth="1"/>
    <col min="2" max="2" width="11.421875" style="5" customWidth="1"/>
    <col min="3" max="3" width="21.7109375" style="216" customWidth="1"/>
    <col min="4" max="4" width="11.8515625" style="5" customWidth="1"/>
    <col min="5" max="5" width="14.28125" style="5" customWidth="1"/>
    <col min="6" max="6" width="10.7109375" style="216" customWidth="1"/>
    <col min="7" max="7" width="10.28125" style="5" customWidth="1"/>
    <col min="8" max="8" width="13.421875" style="5" customWidth="1"/>
    <col min="9" max="9" width="9.140625" style="5" customWidth="1"/>
    <col min="10" max="10" width="10.28125" style="5" customWidth="1"/>
    <col min="11" max="11" width="11.57421875" style="5" customWidth="1"/>
    <col min="12" max="12" width="11.00390625" style="5" customWidth="1"/>
    <col min="13" max="13" width="12.8515625" style="5" customWidth="1"/>
    <col min="14" max="14" width="8.140625" style="5" customWidth="1"/>
    <col min="15" max="15" width="11.28125" style="5" customWidth="1"/>
    <col min="16" max="16" width="11.140625" style="5" customWidth="1"/>
    <col min="17" max="17" width="12.421875" style="5" customWidth="1"/>
    <col min="18" max="18" width="12.57421875" style="5" customWidth="1"/>
    <col min="19" max="19" width="10.7109375" style="5" customWidth="1"/>
    <col min="20" max="20" width="12.421875" style="5" customWidth="1"/>
    <col min="21" max="16384" width="9.140625" style="5" customWidth="1"/>
  </cols>
  <sheetData>
    <row r="1" spans="1:24" s="280" customFormat="1" ht="12.75">
      <c r="A1" s="5"/>
      <c r="B1" s="269"/>
      <c r="C1" s="482"/>
      <c r="D1" s="3"/>
      <c r="E1" s="4"/>
      <c r="F1" s="3"/>
      <c r="G1" s="4"/>
      <c r="H1" s="4"/>
      <c r="O1" s="309"/>
      <c r="P1" s="309"/>
      <c r="Q1" s="309"/>
      <c r="R1" s="309"/>
      <c r="S1" s="309"/>
      <c r="T1" s="309"/>
      <c r="U1" s="309"/>
      <c r="V1" s="309"/>
      <c r="W1" s="309"/>
      <c r="X1" s="309"/>
    </row>
    <row r="2" spans="2:24" s="280" customFormat="1" ht="15.75">
      <c r="B2" s="1393" t="s">
        <v>960</v>
      </c>
      <c r="C2" s="1394"/>
      <c r="D2" s="1394"/>
      <c r="E2" s="1394"/>
      <c r="F2" s="1394"/>
      <c r="G2" s="1394"/>
      <c r="H2" s="1395"/>
      <c r="O2" s="309"/>
      <c r="P2" s="309"/>
      <c r="Q2" s="309"/>
      <c r="R2" s="309"/>
      <c r="S2" s="309"/>
      <c r="T2" s="309"/>
      <c r="U2" s="309"/>
      <c r="V2" s="309"/>
      <c r="W2" s="309"/>
      <c r="X2" s="309"/>
    </row>
    <row r="3" spans="2:8" ht="12.75">
      <c r="B3" s="269"/>
      <c r="C3" s="266"/>
      <c r="D3" s="3"/>
      <c r="E3" s="4"/>
      <c r="F3" s="3"/>
      <c r="G3" s="4"/>
      <c r="H3" s="4"/>
    </row>
    <row r="4" spans="2:8" ht="12.75">
      <c r="B4" s="6"/>
      <c r="C4" s="160"/>
      <c r="D4" s="7"/>
      <c r="E4" s="7"/>
      <c r="F4" s="160"/>
      <c r="G4" s="7"/>
      <c r="H4" s="51"/>
    </row>
    <row r="5" spans="2:8" ht="12.75">
      <c r="B5" s="10">
        <v>1</v>
      </c>
      <c r="C5" s="18" t="s">
        <v>311</v>
      </c>
      <c r="D5" s="4"/>
      <c r="E5" s="4"/>
      <c r="F5" s="3"/>
      <c r="G5" s="4"/>
      <c r="H5" s="15"/>
    </row>
    <row r="6" spans="2:8" ht="12.75">
      <c r="B6" s="10"/>
      <c r="C6" s="18"/>
      <c r="D6" s="4"/>
      <c r="E6" s="4"/>
      <c r="F6" s="3"/>
      <c r="G6" s="4"/>
      <c r="H6" s="15"/>
    </row>
    <row r="7" spans="2:8" ht="12.75">
      <c r="B7" s="10"/>
      <c r="C7" s="3" t="s">
        <v>34</v>
      </c>
      <c r="D7" s="4" t="s">
        <v>35</v>
      </c>
      <c r="E7" s="69">
        <v>1500</v>
      </c>
      <c r="F7" s="3"/>
      <c r="G7" s="4"/>
      <c r="H7" s="15"/>
    </row>
    <row r="8" spans="2:8" ht="12.75">
      <c r="B8" s="10"/>
      <c r="C8" s="228" t="s">
        <v>212</v>
      </c>
      <c r="D8" s="229" t="s">
        <v>302</v>
      </c>
      <c r="E8" s="302">
        <f>(E7*1.1)/1.5</f>
        <v>1100.0000000000002</v>
      </c>
      <c r="F8" s="3"/>
      <c r="G8" s="4"/>
      <c r="H8" s="15"/>
    </row>
    <row r="9" spans="2:8" ht="12.75">
      <c r="B9" s="10"/>
      <c r="C9" s="3"/>
      <c r="D9" s="4"/>
      <c r="E9" s="238"/>
      <c r="F9" s="3"/>
      <c r="G9" s="4"/>
      <c r="H9" s="15"/>
    </row>
    <row r="10" spans="2:8" ht="12.75">
      <c r="B10" s="10"/>
      <c r="C10" s="3" t="s">
        <v>287</v>
      </c>
      <c r="D10" s="4" t="s">
        <v>250</v>
      </c>
      <c r="E10" s="66">
        <v>30</v>
      </c>
      <c r="F10" s="3"/>
      <c r="G10" s="4"/>
      <c r="H10" s="15"/>
    </row>
    <row r="11" spans="2:8" ht="12.75">
      <c r="B11" s="10"/>
      <c r="C11" s="3" t="s">
        <v>288</v>
      </c>
      <c r="D11" s="4" t="s">
        <v>251</v>
      </c>
      <c r="E11" s="66">
        <v>30</v>
      </c>
      <c r="G11" s="4"/>
      <c r="H11" s="15"/>
    </row>
    <row r="12" spans="2:10" ht="12.75">
      <c r="B12" s="10"/>
      <c r="C12" s="3"/>
      <c r="D12" s="4"/>
      <c r="E12" s="238"/>
      <c r="F12" s="3"/>
      <c r="G12" s="4"/>
      <c r="H12" s="15"/>
      <c r="J12" s="67"/>
    </row>
    <row r="13" spans="2:10" ht="12.75">
      <c r="B13" s="10"/>
      <c r="C13" s="3" t="s">
        <v>289</v>
      </c>
      <c r="D13" s="229" t="s">
        <v>59</v>
      </c>
      <c r="E13" s="64">
        <v>450</v>
      </c>
      <c r="F13" s="3"/>
      <c r="G13" s="4"/>
      <c r="H13" s="15"/>
      <c r="J13" s="357"/>
    </row>
    <row r="14" spans="2:10" ht="12.75">
      <c r="B14" s="10"/>
      <c r="C14" s="3"/>
      <c r="D14" s="229" t="s">
        <v>60</v>
      </c>
      <c r="E14" s="64">
        <v>450</v>
      </c>
      <c r="F14" s="3"/>
      <c r="G14" s="4"/>
      <c r="H14" s="15"/>
      <c r="J14" s="358"/>
    </row>
    <row r="15" spans="2:8" ht="12.75">
      <c r="B15" s="10"/>
      <c r="C15" s="3"/>
      <c r="D15" s="4"/>
      <c r="E15" s="238"/>
      <c r="F15" s="3"/>
      <c r="G15" s="4"/>
      <c r="H15" s="15"/>
    </row>
    <row r="16" spans="2:8" ht="12.75">
      <c r="B16" s="10"/>
      <c r="C16" s="3" t="s">
        <v>290</v>
      </c>
      <c r="D16" s="229" t="s">
        <v>320</v>
      </c>
      <c r="E16" s="627">
        <v>150</v>
      </c>
      <c r="F16" s="3"/>
      <c r="G16" s="4"/>
      <c r="H16" s="15"/>
    </row>
    <row r="17" spans="2:8" ht="12.75">
      <c r="B17" s="10"/>
      <c r="C17" s="3"/>
      <c r="D17" s="4"/>
      <c r="E17" s="4"/>
      <c r="F17" s="3"/>
      <c r="G17" s="4"/>
      <c r="H17" s="15"/>
    </row>
    <row r="18" spans="2:8" ht="12.75">
      <c r="B18" s="10"/>
      <c r="C18" s="228" t="s">
        <v>319</v>
      </c>
      <c r="D18" s="229" t="s">
        <v>318</v>
      </c>
      <c r="E18" s="244">
        <f>(E7*1.1)/(1.5*E16)</f>
        <v>7.333333333333334</v>
      </c>
      <c r="F18" s="3"/>
      <c r="G18" s="4"/>
      <c r="H18" s="15"/>
    </row>
    <row r="19" spans="2:8" ht="12.75">
      <c r="B19" s="10"/>
      <c r="C19" s="3"/>
      <c r="D19" s="4"/>
      <c r="E19" s="4"/>
      <c r="F19" s="3"/>
      <c r="G19" s="4"/>
      <c r="H19" s="15"/>
    </row>
    <row r="20" spans="2:8" ht="12.75">
      <c r="B20" s="10"/>
      <c r="C20" s="1381" t="s">
        <v>315</v>
      </c>
      <c r="D20" s="4" t="s">
        <v>291</v>
      </c>
      <c r="E20" s="264">
        <v>3.3</v>
      </c>
      <c r="F20" s="1398">
        <f>IF(E20&lt;E21,"L must be greater than B",IF(E20/E21&lt;2,"","L/B Ratio cannot be greater than 2"))</f>
      </c>
      <c r="G20" s="1398"/>
      <c r="H20" s="1408"/>
    </row>
    <row r="21" spans="2:8" ht="12.75">
      <c r="B21" s="10"/>
      <c r="C21" s="1381"/>
      <c r="D21" s="4" t="s">
        <v>292</v>
      </c>
      <c r="E21" s="264">
        <v>2.4</v>
      </c>
      <c r="F21" s="3"/>
      <c r="G21" s="4"/>
      <c r="H21" s="15"/>
    </row>
    <row r="22" spans="2:8" ht="12.75">
      <c r="B22" s="10"/>
      <c r="C22" s="228" t="s">
        <v>316</v>
      </c>
      <c r="D22" s="229" t="s">
        <v>317</v>
      </c>
      <c r="E22" s="273">
        <f>E20*E21</f>
        <v>7.919999999999999</v>
      </c>
      <c r="F22" s="3"/>
      <c r="G22" s="4"/>
      <c r="H22" s="15"/>
    </row>
    <row r="23" spans="2:8" ht="12.75">
      <c r="B23" s="10"/>
      <c r="C23" s="3"/>
      <c r="D23" s="4"/>
      <c r="E23" s="4"/>
      <c r="F23" s="3"/>
      <c r="G23" s="4"/>
      <c r="H23" s="15"/>
    </row>
    <row r="24" spans="2:8" ht="12.75">
      <c r="B24" s="10"/>
      <c r="C24" s="3"/>
      <c r="D24" s="4" t="s">
        <v>294</v>
      </c>
      <c r="E24" s="231">
        <f>(E21*E21*E20)/6</f>
        <v>3.1679999999999997</v>
      </c>
      <c r="F24" s="3"/>
      <c r="G24" s="4"/>
      <c r="H24" s="15"/>
    </row>
    <row r="25" spans="2:8" ht="12.75">
      <c r="B25" s="10"/>
      <c r="C25" s="3"/>
      <c r="D25" s="4" t="s">
        <v>294</v>
      </c>
      <c r="E25" s="231">
        <f>(E20*E20*E21)/6</f>
        <v>4.355999999999999</v>
      </c>
      <c r="F25" s="3"/>
      <c r="G25" s="4"/>
      <c r="H25" s="15"/>
    </row>
    <row r="26" spans="2:8" ht="12.75">
      <c r="B26" s="10"/>
      <c r="C26" s="3"/>
      <c r="D26" s="4"/>
      <c r="E26" s="4"/>
      <c r="F26" s="3"/>
      <c r="G26" s="4"/>
      <c r="H26" s="15"/>
    </row>
    <row r="27" spans="2:8" ht="12.75">
      <c r="B27" s="10"/>
      <c r="C27" s="3" t="s">
        <v>293</v>
      </c>
      <c r="D27" s="4" t="s">
        <v>211</v>
      </c>
      <c r="E27" s="230">
        <f>(E8/E22)+(E10/(1.5*E24))+(E11/(1.5*E25))</f>
        <v>149.79338842975213</v>
      </c>
      <c r="F27" s="3"/>
      <c r="G27" s="4"/>
      <c r="H27" s="15"/>
    </row>
    <row r="28" spans="2:8" ht="12.75">
      <c r="B28" s="10"/>
      <c r="C28" s="3"/>
      <c r="D28" s="4"/>
      <c r="E28" s="4"/>
      <c r="F28" s="3"/>
      <c r="G28" s="4"/>
      <c r="H28" s="15"/>
    </row>
    <row r="29" spans="2:8" ht="12.75">
      <c r="B29" s="10"/>
      <c r="C29" s="3"/>
      <c r="D29" s="1398" t="str">
        <f>IF(E27&lt;E16,"Footing Size OK","Change Footing Dimensions")</f>
        <v>Footing Size OK</v>
      </c>
      <c r="E29" s="1398"/>
      <c r="F29" s="237"/>
      <c r="G29" s="4"/>
      <c r="H29" s="15"/>
    </row>
    <row r="30" spans="2:8" ht="12.75">
      <c r="B30" s="8"/>
      <c r="C30" s="165"/>
      <c r="D30" s="9"/>
      <c r="E30" s="9"/>
      <c r="F30" s="165"/>
      <c r="G30" s="9"/>
      <c r="H30" s="52"/>
    </row>
    <row r="31" spans="2:8" ht="12.75" customHeight="1">
      <c r="B31" s="4"/>
      <c r="C31" s="3"/>
      <c r="D31" s="4"/>
      <c r="E31" s="4"/>
      <c r="F31" s="3"/>
      <c r="G31" s="4"/>
      <c r="H31" s="4"/>
    </row>
    <row r="32" spans="2:18" ht="12.75" customHeight="1">
      <c r="B32" s="6"/>
      <c r="C32" s="160"/>
      <c r="D32" s="7"/>
      <c r="E32" s="7"/>
      <c r="F32" s="160"/>
      <c r="G32" s="7"/>
      <c r="H32" s="51"/>
      <c r="J32" s="6"/>
      <c r="K32" s="7"/>
      <c r="L32" s="7"/>
      <c r="M32" s="51"/>
      <c r="O32" s="6"/>
      <c r="P32" s="7"/>
      <c r="Q32" s="7"/>
      <c r="R32" s="51"/>
    </row>
    <row r="33" spans="2:18" ht="12.75">
      <c r="B33" s="10">
        <v>2</v>
      </c>
      <c r="C33" s="18" t="s">
        <v>78</v>
      </c>
      <c r="D33" s="4"/>
      <c r="E33" s="4"/>
      <c r="F33" s="3"/>
      <c r="G33" s="4"/>
      <c r="H33" s="15"/>
      <c r="J33" s="54" t="s">
        <v>11</v>
      </c>
      <c r="K33" s="222">
        <v>1000</v>
      </c>
      <c r="L33" s="4"/>
      <c r="M33" s="15"/>
      <c r="O33" s="54" t="s">
        <v>11</v>
      </c>
      <c r="P33" s="222">
        <v>1000</v>
      </c>
      <c r="Q33" s="4"/>
      <c r="R33" s="15"/>
    </row>
    <row r="34" spans="2:18" ht="14.25">
      <c r="B34" s="10"/>
      <c r="C34" s="3"/>
      <c r="D34" s="4" t="s">
        <v>263</v>
      </c>
      <c r="E34" s="232">
        <f>(E20-(E13/1000))/2</f>
        <v>1.4249999999999998</v>
      </c>
      <c r="F34" s="3"/>
      <c r="G34" s="4"/>
      <c r="H34" s="15"/>
      <c r="J34" s="54" t="s">
        <v>3</v>
      </c>
      <c r="K34" s="4" t="s">
        <v>77</v>
      </c>
      <c r="L34" s="4"/>
      <c r="M34" s="15"/>
      <c r="O34" s="54" t="s">
        <v>3</v>
      </c>
      <c r="P34" s="4" t="s">
        <v>77</v>
      </c>
      <c r="Q34" s="4"/>
      <c r="R34" s="15"/>
    </row>
    <row r="35" spans="2:18" ht="12.75">
      <c r="B35" s="10"/>
      <c r="C35" s="3"/>
      <c r="D35" s="4" t="s">
        <v>262</v>
      </c>
      <c r="E35" s="232">
        <f>(E21-(E14/1000))/2</f>
        <v>0.975</v>
      </c>
      <c r="F35" s="3"/>
      <c r="G35" s="4"/>
      <c r="H35" s="15"/>
      <c r="J35" s="251">
        <f>IF(E40=15,(IF(E41=250,2.24,IF(E41=415,2.07,IF(E41=500,2)))),IF(E40=20,(IF(E41=250,2.98,IF(E41=415,2.76,IF(E41=500,2.66)))),IF(E40=25,(IF(E41=250,3.73,IF(E41=415,3.45,IF(E41=500,3.33)))),IF(E40=30,(IF(E41=250,4.47,IF(E41=415,4.14,IF(E41=500,3.99))))))))</f>
        <v>2.76</v>
      </c>
      <c r="K35" s="57">
        <f>(J35*K33*E48^2)/1000000</f>
        <v>967.28064</v>
      </c>
      <c r="L35" s="4"/>
      <c r="M35" s="15"/>
      <c r="O35" s="251">
        <f>IF(E40=15,(IF(E41=250,2.24,IF(E41=415,2.07,IF(E41=500,2)))),IF(E40=20,(IF(E41=250,2.98,IF(E41=415,2.76,IF(E41=500,2.66)))),IF(E40=25,(IF(E41=250,3.73,IF(E41=415,3.45,IF(E41=500,3.33)))),IF(E40=30,(IF(E41=250,4.47,IF(E41=415,4.14,IF(E41=500,3.99))))))))</f>
        <v>2.76</v>
      </c>
      <c r="P35" s="57">
        <f>(O35*P33*E48^2)/1000000</f>
        <v>967.28064</v>
      </c>
      <c r="Q35" s="4"/>
      <c r="R35" s="15"/>
    </row>
    <row r="36" spans="2:18" ht="12.75">
      <c r="B36" s="10"/>
      <c r="C36" s="3"/>
      <c r="D36" s="4"/>
      <c r="E36" s="4"/>
      <c r="F36" s="3"/>
      <c r="G36" s="4"/>
      <c r="H36" s="15"/>
      <c r="J36" s="10"/>
      <c r="K36" s="4"/>
      <c r="L36" s="4"/>
      <c r="M36" s="15"/>
      <c r="O36" s="10"/>
      <c r="P36" s="4"/>
      <c r="Q36" s="4"/>
      <c r="R36" s="15"/>
    </row>
    <row r="37" spans="2:18" ht="12.75">
      <c r="B37" s="10"/>
      <c r="C37" s="3" t="s">
        <v>295</v>
      </c>
      <c r="D37" s="4" t="s">
        <v>56</v>
      </c>
      <c r="E37" s="233">
        <f>(1.5*E27*E34^2)/2</f>
        <v>228.13064953512404</v>
      </c>
      <c r="F37" s="3"/>
      <c r="G37" s="4"/>
      <c r="H37" s="15"/>
      <c r="J37" s="10"/>
      <c r="K37" s="4"/>
      <c r="L37" s="225"/>
      <c r="M37" s="252"/>
      <c r="O37" s="10"/>
      <c r="P37" s="4"/>
      <c r="Q37" s="225"/>
      <c r="R37" s="252"/>
    </row>
    <row r="38" spans="2:18" ht="12.75">
      <c r="B38" s="10"/>
      <c r="C38" s="3" t="s">
        <v>296</v>
      </c>
      <c r="D38" s="4" t="s">
        <v>208</v>
      </c>
      <c r="E38" s="233">
        <f>(1.5*E27*E35^2)/2</f>
        <v>106.79800490702483</v>
      </c>
      <c r="F38" s="3"/>
      <c r="G38" s="4"/>
      <c r="H38" s="15"/>
      <c r="J38" s="11" t="s">
        <v>31</v>
      </c>
      <c r="K38" s="11" t="s">
        <v>30</v>
      </c>
      <c r="L38" s="234" t="s">
        <v>297</v>
      </c>
      <c r="M38" s="11" t="s">
        <v>33</v>
      </c>
      <c r="O38" s="11" t="s">
        <v>31</v>
      </c>
      <c r="P38" s="11" t="s">
        <v>30</v>
      </c>
      <c r="Q38" s="234" t="s">
        <v>297</v>
      </c>
      <c r="R38" s="11" t="s">
        <v>33</v>
      </c>
    </row>
    <row r="39" spans="2:18" ht="12.75">
      <c r="B39" s="10"/>
      <c r="C39" s="3"/>
      <c r="D39" s="4"/>
      <c r="E39" s="4"/>
      <c r="F39" s="3"/>
      <c r="G39" s="4"/>
      <c r="H39" s="15"/>
      <c r="J39" s="38">
        <f>(0.0035)/(0.0055+((0.87*E41)/(200*1000)))</f>
        <v>0.4791074911878444</v>
      </c>
      <c r="K39" s="39">
        <f>J39*E48</f>
        <v>283.6316347832039</v>
      </c>
      <c r="L39" s="232">
        <f>(0.36*J39*(1-(0.42*J39)))</f>
        <v>0.13777164582504264</v>
      </c>
      <c r="M39" s="11">
        <f>IF(E41=250,(IF(E40=15,4.4,IF(E40=20,5.15,IF(E40=25,5.9,IF(E40=30,6.65))))),IF(E41=415,(IF(E40=15,6.4,IF(E40=20,7.1,IF(E40=25,7.8,IF(E40=30,8.5))))),IF(E41=500,(IF(E40=15,6.4,IF(E40=20,7,IF(E40=25,7.7,IF(E40=30,8.3))))))))</f>
        <v>7.1</v>
      </c>
      <c r="O39" s="38">
        <f>(0.0035)/(0.0055+((0.87*E41)/(200*1000)))</f>
        <v>0.4791074911878444</v>
      </c>
      <c r="P39" s="39">
        <f>O39*E48</f>
        <v>283.6316347832039</v>
      </c>
      <c r="Q39" s="232">
        <f>(0.36*O39*(1-(0.42*O39)))</f>
        <v>0.13777164582504264</v>
      </c>
      <c r="R39" s="11">
        <f>IF(E41=250,(IF(E40=15,4.4,IF(E40=20,5.15,IF(E40=25,5.9,IF(E40=30,6.65))))),IF(E41=415,(IF(E40=15,6.4,IF(E40=20,7.1,IF(E40=25,7.8,IF(E40=30,8.5))))),IF(E41=500,(IF(E40=15,6.4,IF(E40=20,7,IF(E40=25,7.7,IF(E40=30,8.3))))))))</f>
        <v>7.1</v>
      </c>
    </row>
    <row r="40" spans="2:18" ht="12.75">
      <c r="B40" s="10"/>
      <c r="C40" s="3" t="s">
        <v>80</v>
      </c>
      <c r="D40" s="4" t="s">
        <v>41</v>
      </c>
      <c r="E40" s="71">
        <v>20</v>
      </c>
      <c r="F40" s="3"/>
      <c r="G40" s="4"/>
      <c r="H40" s="15"/>
      <c r="J40" s="10"/>
      <c r="K40" s="4"/>
      <c r="L40" s="4"/>
      <c r="M40" s="15"/>
      <c r="O40" s="10"/>
      <c r="P40" s="4"/>
      <c r="Q40" s="4"/>
      <c r="R40" s="15"/>
    </row>
    <row r="41" spans="2:18" ht="12.75">
      <c r="B41" s="10"/>
      <c r="C41" s="3" t="s">
        <v>54</v>
      </c>
      <c r="D41" s="4" t="s">
        <v>49</v>
      </c>
      <c r="E41" s="71">
        <v>415</v>
      </c>
      <c r="F41" s="3"/>
      <c r="G41" s="4"/>
      <c r="H41" s="15"/>
      <c r="J41" s="19" t="s">
        <v>17</v>
      </c>
      <c r="K41" s="37"/>
      <c r="L41" s="37"/>
      <c r="M41" s="253"/>
      <c r="O41" s="19" t="s">
        <v>17</v>
      </c>
      <c r="P41" s="37"/>
      <c r="Q41" s="37"/>
      <c r="R41" s="253"/>
    </row>
    <row r="42" spans="2:18" ht="12.75">
      <c r="B42" s="10"/>
      <c r="C42" s="3"/>
      <c r="D42" s="4"/>
      <c r="E42" s="4"/>
      <c r="F42" s="3"/>
      <c r="G42" s="4"/>
      <c r="H42" s="15"/>
      <c r="J42" s="22" t="s">
        <v>7</v>
      </c>
      <c r="K42" s="214">
        <f>(0.87435*E41*E41)/(E40*10000)</f>
        <v>0.75292464375</v>
      </c>
      <c r="L42" s="17"/>
      <c r="M42" s="254"/>
      <c r="O42" s="22" t="s">
        <v>7</v>
      </c>
      <c r="P42" s="214">
        <f>(0.87435*E41*E41)/(E40*10000)</f>
        <v>0.75292464375</v>
      </c>
      <c r="Q42" s="17"/>
      <c r="R42" s="254"/>
    </row>
    <row r="43" spans="2:18" ht="12.75">
      <c r="B43" s="10"/>
      <c r="C43" s="228" t="s">
        <v>298</v>
      </c>
      <c r="D43" s="229" t="s">
        <v>299</v>
      </c>
      <c r="E43" s="236">
        <f>SQRT((MAX(E37:E38)*1000000)/(L39*1000*E40))</f>
        <v>287.737785869967</v>
      </c>
      <c r="F43" s="3"/>
      <c r="G43" s="4"/>
      <c r="H43" s="15"/>
      <c r="J43" s="19" t="s">
        <v>0</v>
      </c>
      <c r="K43" s="213">
        <f>-(0.87*E41)/100</f>
        <v>-3.6105</v>
      </c>
      <c r="L43" s="4"/>
      <c r="M43" s="15"/>
      <c r="O43" s="19" t="s">
        <v>0</v>
      </c>
      <c r="P43" s="213">
        <f>-(0.87*E41)/100</f>
        <v>-3.6105</v>
      </c>
      <c r="Q43" s="4"/>
      <c r="R43" s="15"/>
    </row>
    <row r="44" spans="2:18" ht="12.75">
      <c r="B44" s="10"/>
      <c r="C44" s="3"/>
      <c r="D44" s="4"/>
      <c r="E44" s="4"/>
      <c r="F44" s="3"/>
      <c r="G44" s="4"/>
      <c r="H44" s="15"/>
      <c r="J44" s="19" t="s">
        <v>8</v>
      </c>
      <c r="K44" s="213">
        <f>(E37*1000000)/(K33*E48*E48)</f>
        <v>0.6509388968199987</v>
      </c>
      <c r="L44" s="4"/>
      <c r="M44" s="15"/>
      <c r="O44" s="19" t="s">
        <v>8</v>
      </c>
      <c r="P44" s="213">
        <f>(E38*1000000)/(P33*E48*E48)</f>
        <v>0.30473316776337894</v>
      </c>
      <c r="Q44" s="4"/>
      <c r="R44" s="15"/>
    </row>
    <row r="45" spans="2:18" ht="12.75">
      <c r="B45" s="10"/>
      <c r="C45" s="123" t="s">
        <v>300</v>
      </c>
      <c r="D45" s="229" t="s">
        <v>312</v>
      </c>
      <c r="E45" s="275">
        <v>650</v>
      </c>
      <c r="F45" s="3"/>
      <c r="G45" s="4"/>
      <c r="H45" s="15"/>
      <c r="J45" s="20" t="s">
        <v>9</v>
      </c>
      <c r="K45" s="213">
        <f>(-K43-SQRT((K43*K43)-(4*K42*K44)))/(2*K42)</f>
        <v>0.18763225562720617</v>
      </c>
      <c r="L45" s="4"/>
      <c r="M45" s="15"/>
      <c r="O45" s="20" t="s">
        <v>9</v>
      </c>
      <c r="P45" s="213">
        <f>(-P43-SQRT((P43*P43)-(4*P42*P44)))/(2*P42)</f>
        <v>0.08594220073779221</v>
      </c>
      <c r="Q45" s="4"/>
      <c r="R45" s="15"/>
    </row>
    <row r="46" spans="2:18" ht="12.75">
      <c r="B46" s="10"/>
      <c r="C46" s="235" t="s">
        <v>86</v>
      </c>
      <c r="D46" s="223" t="s">
        <v>8</v>
      </c>
      <c r="E46" s="64">
        <v>50</v>
      </c>
      <c r="F46" s="3"/>
      <c r="G46" s="4"/>
      <c r="H46" s="15"/>
      <c r="J46" s="12" t="s">
        <v>5</v>
      </c>
      <c r="K46" s="21">
        <f>(K45*K33*E48)/100</f>
        <v>1110.7829533130605</v>
      </c>
      <c r="L46" s="4"/>
      <c r="M46" s="15"/>
      <c r="O46" s="12" t="s">
        <v>5</v>
      </c>
      <c r="P46" s="21">
        <f>(P45*P33*E48)/100</f>
        <v>508.7778283677299</v>
      </c>
      <c r="Q46" s="4"/>
      <c r="R46" s="15"/>
    </row>
    <row r="47" spans="2:18" ht="12.75">
      <c r="B47" s="10"/>
      <c r="C47" s="228" t="s">
        <v>313</v>
      </c>
      <c r="D47" s="4" t="s">
        <v>38</v>
      </c>
      <c r="E47" s="70">
        <f>E46+D95+D57/2</f>
        <v>58</v>
      </c>
      <c r="F47" s="3"/>
      <c r="G47" s="4"/>
      <c r="H47" s="15"/>
      <c r="J47" s="10"/>
      <c r="K47" s="4"/>
      <c r="L47" s="4"/>
      <c r="M47" s="15"/>
      <c r="O47" s="10"/>
      <c r="P47" s="4"/>
      <c r="Q47" s="4"/>
      <c r="R47" s="15"/>
    </row>
    <row r="48" spans="2:18" ht="12.75">
      <c r="B48" s="10"/>
      <c r="C48" s="228" t="s">
        <v>314</v>
      </c>
      <c r="D48" s="229" t="s">
        <v>38</v>
      </c>
      <c r="E48" s="70">
        <f>E45-E47</f>
        <v>592</v>
      </c>
      <c r="F48" s="3"/>
      <c r="G48" s="4"/>
      <c r="H48" s="15"/>
      <c r="J48" s="10"/>
      <c r="K48" s="4"/>
      <c r="L48" s="4"/>
      <c r="M48" s="15"/>
      <c r="O48" s="10"/>
      <c r="P48" s="4"/>
      <c r="Q48" s="4"/>
      <c r="R48" s="15"/>
    </row>
    <row r="49" spans="2:18" ht="12.75">
      <c r="B49" s="10"/>
      <c r="C49" s="3"/>
      <c r="D49" s="229"/>
      <c r="E49" s="4"/>
      <c r="F49" s="3"/>
      <c r="G49" s="4"/>
      <c r="H49" s="15"/>
      <c r="J49" s="6" t="s">
        <v>29</v>
      </c>
      <c r="K49" s="24">
        <f>(0.85*100)/E41</f>
        <v>0.20481927710843373</v>
      </c>
      <c r="L49" s="4"/>
      <c r="M49" s="15"/>
      <c r="O49" s="6" t="s">
        <v>29</v>
      </c>
      <c r="P49" s="24">
        <f>(0.85*100)/E41</f>
        <v>0.20481927710843373</v>
      </c>
      <c r="Q49" s="4"/>
      <c r="R49" s="15"/>
    </row>
    <row r="50" spans="2:18" ht="12.75">
      <c r="B50" s="10"/>
      <c r="C50" s="1245" t="s">
        <v>14</v>
      </c>
      <c r="D50" s="1409" t="s">
        <v>321</v>
      </c>
      <c r="E50" s="1410"/>
      <c r="F50" s="1411"/>
      <c r="G50" s="334"/>
      <c r="H50" s="335"/>
      <c r="J50" s="10" t="s">
        <v>5</v>
      </c>
      <c r="K50" s="14">
        <f>IF(E37&lt;K35,K46,K53)</f>
        <v>1110.7829533130605</v>
      </c>
      <c r="L50" s="4"/>
      <c r="M50" s="15"/>
      <c r="O50" s="10" t="s">
        <v>5</v>
      </c>
      <c r="P50" s="14">
        <f>IF(E38&lt;P35,P46,P53)</f>
        <v>508.7778283677299</v>
      </c>
      <c r="Q50" s="4"/>
      <c r="R50" s="15"/>
    </row>
    <row r="51" spans="2:18" ht="15">
      <c r="B51" s="10"/>
      <c r="C51" s="1253"/>
      <c r="D51" s="479" t="s">
        <v>280</v>
      </c>
      <c r="E51" s="479" t="s">
        <v>281</v>
      </c>
      <c r="F51" s="479" t="s">
        <v>286</v>
      </c>
      <c r="H51" s="15"/>
      <c r="J51" s="10"/>
      <c r="K51" s="14"/>
      <c r="L51" s="4"/>
      <c r="M51" s="15"/>
      <c r="O51" s="10"/>
      <c r="P51" s="14"/>
      <c r="Q51" s="4"/>
      <c r="R51" s="15"/>
    </row>
    <row r="52" spans="2:18" ht="12.75">
      <c r="B52" s="10"/>
      <c r="C52" s="249">
        <f>K56</f>
        <v>1110.7829533130605</v>
      </c>
      <c r="D52" s="246">
        <f>(((PI()*12^2)/4)/C52)*1000</f>
        <v>101.81767301335013</v>
      </c>
      <c r="E52" s="246">
        <f>(((PI()*16^2)/4)/C52)*1000</f>
        <v>181.009196468178</v>
      </c>
      <c r="F52" s="246">
        <f>(((PI()*20^2)/4)/C52)*1000</f>
        <v>282.82686948152815</v>
      </c>
      <c r="H52" s="15"/>
      <c r="J52" s="10"/>
      <c r="K52" s="15"/>
      <c r="L52" s="4"/>
      <c r="M52" s="15"/>
      <c r="O52" s="10"/>
      <c r="P52" s="15"/>
      <c r="Q52" s="4"/>
      <c r="R52" s="15"/>
    </row>
    <row r="53" spans="2:18" ht="12.75">
      <c r="B53" s="10"/>
      <c r="C53" s="249">
        <f>P56</f>
        <v>710.4</v>
      </c>
      <c r="D53" s="246">
        <f>(((PI()*12^2)/4)/C53)*1000</f>
        <v>159.2023304184017</v>
      </c>
      <c r="E53" s="246">
        <f>(((PI()*16^2)/4)/C53)*1000</f>
        <v>283.02636518826966</v>
      </c>
      <c r="F53" s="246">
        <f>(((PI()*20^2)/4)/C53)*1000</f>
        <v>442.2286956066714</v>
      </c>
      <c r="H53" s="15"/>
      <c r="J53" s="10" t="s">
        <v>15</v>
      </c>
      <c r="K53" s="14">
        <f>(0.12*K33*E48)/100</f>
        <v>710.4</v>
      </c>
      <c r="L53" s="4"/>
      <c r="M53" s="15"/>
      <c r="O53" s="10" t="s">
        <v>15</v>
      </c>
      <c r="P53" s="14">
        <f>(0.12*P33*E48)/100</f>
        <v>710.4</v>
      </c>
      <c r="Q53" s="4"/>
      <c r="R53" s="15"/>
    </row>
    <row r="54" spans="2:18" ht="12.75">
      <c r="B54" s="10"/>
      <c r="C54" s="1398">
        <f>IF(C52=K53,"Minimum Ast required across x direcion","")</f>
      </c>
      <c r="D54" s="1398"/>
      <c r="E54" s="276"/>
      <c r="F54" s="276"/>
      <c r="G54" s="276"/>
      <c r="H54" s="277"/>
      <c r="J54" s="10" t="s">
        <v>16</v>
      </c>
      <c r="K54" s="15">
        <f>0.04*K33*E48</f>
        <v>23680</v>
      </c>
      <c r="L54" s="4"/>
      <c r="M54" s="15"/>
      <c r="O54" s="10" t="s">
        <v>16</v>
      </c>
      <c r="P54" s="15">
        <f>0.04*P33*E48</f>
        <v>23680</v>
      </c>
      <c r="Q54" s="4"/>
      <c r="R54" s="15"/>
    </row>
    <row r="55" spans="2:18" ht="12.75">
      <c r="B55" s="10"/>
      <c r="C55" s="1398" t="str">
        <f>IF(C53=P53,"Minimum Ast required across y direcion","")</f>
        <v>Minimum Ast required across y direcion</v>
      </c>
      <c r="D55" s="1398"/>
      <c r="E55" s="276"/>
      <c r="F55" s="276"/>
      <c r="G55" s="276"/>
      <c r="H55" s="277"/>
      <c r="J55" s="10"/>
      <c r="K55" s="15"/>
      <c r="L55" s="4"/>
      <c r="M55" s="15"/>
      <c r="O55" s="10"/>
      <c r="P55" s="15"/>
      <c r="Q55" s="4"/>
      <c r="R55" s="15"/>
    </row>
    <row r="56" spans="2:18" ht="12.75">
      <c r="B56" s="10"/>
      <c r="C56" s="3"/>
      <c r="D56" s="4"/>
      <c r="E56" s="4"/>
      <c r="F56" s="3"/>
      <c r="G56" s="4"/>
      <c r="H56" s="15"/>
      <c r="J56" s="10" t="s">
        <v>5</v>
      </c>
      <c r="K56" s="14">
        <f>IF(K50&gt;K53,K50,K53)</f>
        <v>1110.7829533130605</v>
      </c>
      <c r="L56" s="4"/>
      <c r="M56" s="15"/>
      <c r="O56" s="10" t="s">
        <v>5</v>
      </c>
      <c r="P56" s="14">
        <f>IF(P50&gt;P53,P50,P53)</f>
        <v>710.4</v>
      </c>
      <c r="Q56" s="4"/>
      <c r="R56" s="15"/>
    </row>
    <row r="57" spans="2:18" ht="12.75">
      <c r="B57" s="10"/>
      <c r="C57" s="272" t="s">
        <v>341</v>
      </c>
      <c r="D57" s="247">
        <v>16</v>
      </c>
      <c r="E57" s="248">
        <v>125</v>
      </c>
      <c r="F57" s="1405">
        <f>((((PI()*D57^2)/4)*1000)/E57)</f>
        <v>1608.495438637974</v>
      </c>
      <c r="G57" s="1406"/>
      <c r="H57" s="274">
        <f>IF(C52&gt;F57,"X","")</f>
      </c>
      <c r="J57" s="8"/>
      <c r="K57" s="13"/>
      <c r="L57" s="4"/>
      <c r="M57" s="15"/>
      <c r="O57" s="8"/>
      <c r="P57" s="13"/>
      <c r="Q57" s="4"/>
      <c r="R57" s="15"/>
    </row>
    <row r="58" spans="2:18" ht="15.75">
      <c r="B58" s="239"/>
      <c r="C58" s="272" t="s">
        <v>342</v>
      </c>
      <c r="D58" s="247">
        <v>16</v>
      </c>
      <c r="E58" s="248">
        <v>125</v>
      </c>
      <c r="F58" s="1405">
        <f>((((PI()*D58^2)/4)*1000)/E58)</f>
        <v>1608.495438637974</v>
      </c>
      <c r="G58" s="1406"/>
      <c r="H58" s="274">
        <f>IF(C53&gt;F58,"X","")</f>
      </c>
      <c r="J58" s="6" t="s">
        <v>27</v>
      </c>
      <c r="K58" s="227">
        <f>(C52*100)/(1000*E48)</f>
        <v>0.18763225562720615</v>
      </c>
      <c r="L58" s="4"/>
      <c r="M58" s="255"/>
      <c r="O58" s="6" t="s">
        <v>27</v>
      </c>
      <c r="P58" s="227">
        <f>(C53*100)/(1000*E48)</f>
        <v>0.12</v>
      </c>
      <c r="Q58" s="4"/>
      <c r="R58" s="255"/>
    </row>
    <row r="59" spans="2:18" ht="15">
      <c r="B59" s="8"/>
      <c r="C59" s="165"/>
      <c r="D59" s="9"/>
      <c r="E59" s="9"/>
      <c r="F59" s="165"/>
      <c r="G59" s="9"/>
      <c r="H59" s="52"/>
      <c r="J59" s="25" t="s">
        <v>26</v>
      </c>
      <c r="K59" s="26">
        <f>(0.8*E40)/(6.89*K58)</f>
        <v>12.376369340273966</v>
      </c>
      <c r="L59" s="4"/>
      <c r="M59" s="15"/>
      <c r="O59" s="25" t="s">
        <v>26</v>
      </c>
      <c r="P59" s="26">
        <f>(0.8*E40)/(6.89*P58)</f>
        <v>19.351717464925013</v>
      </c>
      <c r="Q59" s="4"/>
      <c r="R59" s="15"/>
    </row>
    <row r="60" spans="2:18" ht="12.75">
      <c r="B60" s="4"/>
      <c r="C60" s="3"/>
      <c r="D60" s="4"/>
      <c r="E60" s="4"/>
      <c r="F60" s="3"/>
      <c r="G60" s="4"/>
      <c r="H60" s="4"/>
      <c r="J60" s="10"/>
      <c r="K60" s="4"/>
      <c r="L60" s="4"/>
      <c r="M60" s="15"/>
      <c r="O60" s="10"/>
      <c r="P60" s="4"/>
      <c r="Q60" s="4"/>
      <c r="R60" s="15"/>
    </row>
    <row r="61" spans="2:18" ht="12.75">
      <c r="B61" s="6"/>
      <c r="C61" s="259"/>
      <c r="D61" s="270"/>
      <c r="E61" s="258"/>
      <c r="F61" s="259"/>
      <c r="G61" s="260"/>
      <c r="H61" s="51"/>
      <c r="J61" s="10"/>
      <c r="K61" s="4"/>
      <c r="L61" s="4"/>
      <c r="M61" s="15"/>
      <c r="O61" s="10"/>
      <c r="P61" s="4"/>
      <c r="Q61" s="4"/>
      <c r="R61" s="15"/>
    </row>
    <row r="62" spans="2:18" ht="12.75">
      <c r="B62" s="10">
        <v>3</v>
      </c>
      <c r="C62" s="1397" t="s">
        <v>322</v>
      </c>
      <c r="D62" s="1397"/>
      <c r="E62" s="68"/>
      <c r="F62" s="219"/>
      <c r="G62" s="32"/>
      <c r="H62" s="15"/>
      <c r="J62" s="256" t="s">
        <v>306</v>
      </c>
      <c r="K62" s="4">
        <f>0.5+(MIN(E13:E14)/MAX(E13:E14))</f>
        <v>1.5</v>
      </c>
      <c r="L62" s="4"/>
      <c r="M62" s="15"/>
      <c r="O62" s="256" t="s">
        <v>306</v>
      </c>
      <c r="P62" s="4">
        <f>0.5+(MIN(E13:E14)/MAX(E13:E14))</f>
        <v>1.5</v>
      </c>
      <c r="Q62" s="4"/>
      <c r="R62" s="15"/>
    </row>
    <row r="63" spans="2:18" ht="12.75">
      <c r="B63" s="10"/>
      <c r="C63" s="3"/>
      <c r="D63" s="217"/>
      <c r="E63" s="48"/>
      <c r="F63" s="217"/>
      <c r="G63" s="217"/>
      <c r="H63" s="15"/>
      <c r="J63" s="257" t="s">
        <v>307</v>
      </c>
      <c r="K63" s="9">
        <f>IF(K62&gt;1,1,K62)</f>
        <v>1</v>
      </c>
      <c r="L63" s="9"/>
      <c r="M63" s="52"/>
      <c r="O63" s="257" t="s">
        <v>307</v>
      </c>
      <c r="P63" s="9">
        <f>IF(P62&gt;1,1,P62)</f>
        <v>1</v>
      </c>
      <c r="Q63" s="9"/>
      <c r="R63" s="52"/>
    </row>
    <row r="64" spans="2:8" ht="12.75">
      <c r="B64" s="10"/>
      <c r="C64" s="3"/>
      <c r="D64" s="4" t="s">
        <v>301</v>
      </c>
      <c r="E64" s="242">
        <f>(1.5*E27)*E21*(E34-(E48/1000))</f>
        <v>449.20041322314063</v>
      </c>
      <c r="F64" s="3"/>
      <c r="G64" s="4"/>
      <c r="H64" s="15"/>
    </row>
    <row r="65" spans="2:8" ht="12.75">
      <c r="B65" s="10"/>
      <c r="C65" s="3"/>
      <c r="D65" s="229" t="s">
        <v>309</v>
      </c>
      <c r="E65" s="243">
        <f>(E64*1000)/((E21*1000)*E48)</f>
        <v>0.316160200748269</v>
      </c>
      <c r="F65" s="228"/>
      <c r="G65" s="4"/>
      <c r="H65" s="15"/>
    </row>
    <row r="66" spans="2:8" ht="12.75">
      <c r="B66" s="10"/>
      <c r="C66" s="3"/>
      <c r="D66" s="4"/>
      <c r="E66" s="240"/>
      <c r="F66" s="3"/>
      <c r="G66" s="4"/>
      <c r="H66" s="15"/>
    </row>
    <row r="67" spans="2:8" ht="16.5" customHeight="1">
      <c r="B67" s="10"/>
      <c r="C67" s="3"/>
      <c r="D67" s="229" t="s">
        <v>308</v>
      </c>
      <c r="E67" s="243">
        <f>((0.85*SQRT(0.8*E40)*(SQRT(1+(5*K59))-1))/(6*K59))</f>
        <v>0.3172894084277641</v>
      </c>
      <c r="F67" s="228"/>
      <c r="G67" s="55"/>
      <c r="H67" s="15"/>
    </row>
    <row r="68" spans="2:8" ht="16.5" customHeight="1">
      <c r="B68" s="10"/>
      <c r="C68" s="212"/>
      <c r="D68" s="229" t="s">
        <v>305</v>
      </c>
      <c r="E68" s="242">
        <f>E67*(E21*E48)</f>
        <v>450.8047914941672</v>
      </c>
      <c r="F68" s="3"/>
      <c r="G68" s="55"/>
      <c r="H68" s="15"/>
    </row>
    <row r="69" spans="2:8" ht="12.75">
      <c r="B69" s="10"/>
      <c r="C69" s="212"/>
      <c r="D69" s="4"/>
      <c r="E69" s="4"/>
      <c r="F69" s="3"/>
      <c r="G69" s="55"/>
      <c r="H69" s="15"/>
    </row>
    <row r="70" spans="2:8" ht="12.75">
      <c r="B70" s="10"/>
      <c r="C70" s="3"/>
      <c r="D70" s="1398" t="str">
        <f>IF(E65&lt;E67,"One Way Shear Check OK","Increase Depth")</f>
        <v>One Way Shear Check OK</v>
      </c>
      <c r="E70" s="1398"/>
      <c r="F70" s="237"/>
      <c r="G70" s="55"/>
      <c r="H70" s="15"/>
    </row>
    <row r="71" spans="2:8" ht="12.75" customHeight="1">
      <c r="B71" s="10"/>
      <c r="C71" s="18"/>
      <c r="D71" s="3"/>
      <c r="E71" s="4"/>
      <c r="F71" s="220"/>
      <c r="G71" s="40"/>
      <c r="H71" s="15"/>
    </row>
    <row r="72" spans="2:8" ht="12.75">
      <c r="B72" s="10">
        <v>4</v>
      </c>
      <c r="C72" s="18" t="s">
        <v>323</v>
      </c>
      <c r="D72" s="263"/>
      <c r="E72" s="4"/>
      <c r="F72" s="3"/>
      <c r="G72" s="23"/>
      <c r="H72" s="15"/>
    </row>
    <row r="73" spans="2:8" ht="12.75">
      <c r="B73" s="10"/>
      <c r="C73" s="18"/>
      <c r="D73" s="217"/>
      <c r="E73" s="48"/>
      <c r="F73" s="217"/>
      <c r="G73" s="217"/>
      <c r="H73" s="15"/>
    </row>
    <row r="74" spans="2:8" ht="12" customHeight="1">
      <c r="B74" s="10"/>
      <c r="C74" s="3"/>
      <c r="D74" s="4" t="s">
        <v>301</v>
      </c>
      <c r="E74" s="242">
        <f>(1.5*E27)*E20*(E35-(E48/1000))</f>
        <v>283.9857954545456</v>
      </c>
      <c r="F74" s="3"/>
      <c r="G74" s="4"/>
      <c r="H74" s="15"/>
    </row>
    <row r="75" spans="2:8" ht="12.75">
      <c r="B75" s="10"/>
      <c r="C75" s="3"/>
      <c r="D75" s="229" t="s">
        <v>309</v>
      </c>
      <c r="E75" s="243">
        <f>(E74*1000)/((E20*1000)*E48)</f>
        <v>0.14536537441366992</v>
      </c>
      <c r="F75" s="228"/>
      <c r="G75" s="4"/>
      <c r="H75" s="15"/>
    </row>
    <row r="76" spans="2:8" ht="12.75">
      <c r="B76" s="10"/>
      <c r="C76" s="3"/>
      <c r="D76" s="4"/>
      <c r="E76" s="240"/>
      <c r="F76" s="3"/>
      <c r="G76" s="4"/>
      <c r="H76" s="15"/>
    </row>
    <row r="77" spans="2:8" ht="12.75">
      <c r="B77" s="10"/>
      <c r="C77" s="3"/>
      <c r="D77" s="229" t="s">
        <v>308</v>
      </c>
      <c r="E77" s="243">
        <f>((0.85*SQRT(0.8*E40)*(SQRT(1+(5*P59))-1))/(6*P59))</f>
        <v>0.2602421934884542</v>
      </c>
      <c r="F77" s="228"/>
      <c r="G77" s="55"/>
      <c r="H77" s="15"/>
    </row>
    <row r="78" spans="2:8" ht="12.75">
      <c r="B78" s="10"/>
      <c r="C78" s="212"/>
      <c r="D78" s="229" t="s">
        <v>305</v>
      </c>
      <c r="E78" s="242">
        <f>E77*(E20*E48)</f>
        <v>508.40914919904407</v>
      </c>
      <c r="F78" s="3"/>
      <c r="G78" s="55"/>
      <c r="H78" s="15"/>
    </row>
    <row r="79" spans="2:8" ht="12.75">
      <c r="B79" s="10"/>
      <c r="C79" s="212"/>
      <c r="D79" s="4"/>
      <c r="E79" s="4"/>
      <c r="F79" s="3"/>
      <c r="G79" s="55"/>
      <c r="H79" s="15"/>
    </row>
    <row r="80" spans="2:8" ht="12.75">
      <c r="B80" s="10"/>
      <c r="C80" s="3"/>
      <c r="D80" s="1398" t="str">
        <f>IF(E75&lt;E77,"One Way Shear Check OK","Increase Depth")</f>
        <v>One Way Shear Check OK</v>
      </c>
      <c r="E80" s="1398"/>
      <c r="F80" s="237"/>
      <c r="G80" s="55"/>
      <c r="H80" s="15"/>
    </row>
    <row r="81" spans="2:8" ht="12.75">
      <c r="B81" s="10"/>
      <c r="C81" s="18"/>
      <c r="D81" s="3"/>
      <c r="E81" s="4"/>
      <c r="F81" s="220"/>
      <c r="G81" s="40"/>
      <c r="H81" s="15"/>
    </row>
    <row r="82" spans="2:19" ht="12.75">
      <c r="B82" s="10"/>
      <c r="C82" s="18"/>
      <c r="D82" s="3"/>
      <c r="E82" s="4"/>
      <c r="F82" s="220"/>
      <c r="G82" s="40"/>
      <c r="H82" s="15"/>
      <c r="S82" s="35"/>
    </row>
    <row r="83" spans="2:8" ht="12.75">
      <c r="B83" s="10">
        <v>5</v>
      </c>
      <c r="C83" s="18" t="s">
        <v>303</v>
      </c>
      <c r="D83" s="3"/>
      <c r="E83" s="4"/>
      <c r="F83" s="221"/>
      <c r="G83" s="40"/>
      <c r="H83" s="15"/>
    </row>
    <row r="84" spans="2:16" ht="12.75" customHeight="1">
      <c r="B84" s="10"/>
      <c r="C84" s="3"/>
      <c r="D84" s="229" t="s">
        <v>304</v>
      </c>
      <c r="E84" s="242">
        <f>(1.5*E27)*(((E21)*(E20))-(((E13+(E48/2)+(E48/2))*(E14+(E48/2)+(E48/2)))/(1000*1000)))</f>
        <v>1535.585051652893</v>
      </c>
      <c r="F84" s="221"/>
      <c r="G84" s="40"/>
      <c r="H84" s="15"/>
      <c r="O84" s="4"/>
      <c r="P84" s="4"/>
    </row>
    <row r="85" spans="2:16" ht="12.75" customHeight="1">
      <c r="B85" s="10"/>
      <c r="C85" s="18"/>
      <c r="D85" s="229" t="s">
        <v>309</v>
      </c>
      <c r="E85" s="243">
        <f>(E84*1000)/((((E13+(E48/2)+(E48/2))+(E14+(E48/2)+(E48/2)))*2)*E48)</f>
        <v>0.6223353330932316</v>
      </c>
      <c r="F85" s="220"/>
      <c r="G85" s="40"/>
      <c r="H85" s="15"/>
      <c r="O85" s="4"/>
      <c r="P85" s="150"/>
    </row>
    <row r="86" spans="2:16" ht="12.75" customHeight="1">
      <c r="B86" s="10"/>
      <c r="C86" s="3"/>
      <c r="D86" s="4"/>
      <c r="E86" s="4"/>
      <c r="F86" s="3"/>
      <c r="G86" s="67"/>
      <c r="H86" s="15"/>
      <c r="O86" s="4"/>
      <c r="P86" s="150"/>
    </row>
    <row r="87" spans="2:16" ht="12.75" customHeight="1">
      <c r="B87" s="10"/>
      <c r="C87" s="3"/>
      <c r="D87" s="229" t="s">
        <v>310</v>
      </c>
      <c r="E87" s="243">
        <f>P63*(0.25*SQRT(E40))</f>
        <v>1.118033988749895</v>
      </c>
      <c r="F87" s="218"/>
      <c r="G87" s="40"/>
      <c r="H87" s="15"/>
      <c r="O87" s="4"/>
      <c r="P87" s="150"/>
    </row>
    <row r="88" spans="2:16" ht="12.75" customHeight="1">
      <c r="B88" s="10"/>
      <c r="C88" s="3"/>
      <c r="D88" s="229" t="s">
        <v>305</v>
      </c>
      <c r="E88" s="242">
        <f>(E87*(((E13+(E48/2)+(E48/2))+(E14+(E48/2)+(E48/2)))*2)*E48)/1000</f>
        <v>2758.699673744861</v>
      </c>
      <c r="F88" s="218"/>
      <c r="G88" s="40"/>
      <c r="H88" s="15"/>
      <c r="O88" s="4"/>
      <c r="P88" s="150"/>
    </row>
    <row r="89" spans="2:16" ht="12.75" customHeight="1">
      <c r="B89" s="10"/>
      <c r="C89" s="3"/>
      <c r="D89" s="4"/>
      <c r="E89" s="47"/>
      <c r="F89" s="218"/>
      <c r="G89" s="40"/>
      <c r="H89" s="15"/>
      <c r="O89" s="4"/>
      <c r="P89" s="150"/>
    </row>
    <row r="90" spans="2:16" ht="12.75" customHeight="1">
      <c r="B90" s="10"/>
      <c r="C90" s="44"/>
      <c r="D90" s="1398" t="str">
        <f>IF(E85&lt;E87,"Two Way Shear Check OK","Increase Depth")</f>
        <v>Two Way Shear Check OK</v>
      </c>
      <c r="E90" s="1398"/>
      <c r="F90" s="218"/>
      <c r="G90" s="40"/>
      <c r="H90" s="15"/>
      <c r="O90" s="4"/>
      <c r="P90" s="150"/>
    </row>
    <row r="91" spans="2:16" ht="12.75" customHeight="1">
      <c r="B91" s="8"/>
      <c r="C91" s="165"/>
      <c r="D91" s="241"/>
      <c r="E91" s="9"/>
      <c r="F91" s="165"/>
      <c r="G91" s="30"/>
      <c r="H91" s="52"/>
      <c r="O91" s="4"/>
      <c r="P91" s="150"/>
    </row>
    <row r="92" spans="2:16" ht="12.75" customHeight="1">
      <c r="B92" s="4"/>
      <c r="C92" s="3"/>
      <c r="D92" s="34"/>
      <c r="E92" s="4"/>
      <c r="F92" s="3"/>
      <c r="G92" s="23"/>
      <c r="H92" s="4"/>
      <c r="O92" s="4"/>
      <c r="P92" s="150"/>
    </row>
    <row r="93" spans="2:16" ht="12.75" customHeight="1">
      <c r="B93" s="6"/>
      <c r="C93" s="160"/>
      <c r="D93" s="271"/>
      <c r="E93" s="7"/>
      <c r="F93" s="160"/>
      <c r="G93" s="28"/>
      <c r="H93" s="51"/>
      <c r="O93" s="4"/>
      <c r="P93" s="150"/>
    </row>
    <row r="94" spans="2:16" ht="12.75" customHeight="1">
      <c r="B94" s="10"/>
      <c r="C94" s="33"/>
      <c r="D94" s="265" t="s">
        <v>324</v>
      </c>
      <c r="E94" s="359">
        <f>E20</f>
        <v>3.3</v>
      </c>
      <c r="F94" s="3"/>
      <c r="G94" s="4"/>
      <c r="H94" s="15"/>
      <c r="O94" s="4"/>
      <c r="P94" s="150"/>
    </row>
    <row r="95" spans="2:16" ht="12.75" customHeight="1">
      <c r="B95" s="10"/>
      <c r="C95" s="143"/>
      <c r="D95" s="3"/>
      <c r="E95" s="4"/>
      <c r="F95" s="3"/>
      <c r="G95" s="4"/>
      <c r="H95" s="15"/>
      <c r="O95" s="4"/>
      <c r="P95" s="150"/>
    </row>
    <row r="96" spans="2:16" ht="12.75" customHeight="1">
      <c r="B96" s="10"/>
      <c r="C96" s="143"/>
      <c r="D96" s="215"/>
      <c r="E96" s="224"/>
      <c r="F96" s="3"/>
      <c r="G96" s="4"/>
      <c r="H96" s="15"/>
      <c r="O96" s="4"/>
      <c r="P96" s="150"/>
    </row>
    <row r="97" spans="2:16" ht="12.75" customHeight="1">
      <c r="B97" s="10"/>
      <c r="C97" s="143"/>
      <c r="D97" s="4"/>
      <c r="E97" s="224"/>
      <c r="F97" s="3"/>
      <c r="G97" s="4"/>
      <c r="H97" s="15"/>
      <c r="O97" s="4"/>
      <c r="P97" s="150"/>
    </row>
    <row r="98" spans="2:16" ht="12.75" customHeight="1">
      <c r="B98" s="10"/>
      <c r="C98" s="3"/>
      <c r="D98" s="4"/>
      <c r="E98" s="4"/>
      <c r="F98" s="3"/>
      <c r="G98" s="4"/>
      <c r="H98" s="15"/>
      <c r="O98" s="4"/>
      <c r="P98" s="150"/>
    </row>
    <row r="99" spans="2:16" ht="12.75" customHeight="1">
      <c r="B99" s="10"/>
      <c r="C99" s="3"/>
      <c r="D99" s="4"/>
      <c r="E99" s="4"/>
      <c r="F99" s="3"/>
      <c r="G99" s="4"/>
      <c r="H99" s="15"/>
      <c r="O99" s="4"/>
      <c r="P99" s="150"/>
    </row>
    <row r="100" spans="2:16" ht="14.25" customHeight="1">
      <c r="B100" s="10"/>
      <c r="C100" s="3"/>
      <c r="D100" s="4"/>
      <c r="E100" s="4"/>
      <c r="F100" s="3"/>
      <c r="G100" s="4"/>
      <c r="H100" s="15"/>
      <c r="O100" s="4"/>
      <c r="P100" s="150"/>
    </row>
    <row r="101" spans="2:16" ht="14.25" customHeight="1">
      <c r="B101" s="10"/>
      <c r="C101" s="3"/>
      <c r="D101" s="4"/>
      <c r="E101" s="4"/>
      <c r="F101" s="3"/>
      <c r="G101" s="4"/>
      <c r="H101" s="15"/>
      <c r="O101" s="4"/>
      <c r="P101" s="150"/>
    </row>
    <row r="102" spans="2:16" ht="19.5" customHeight="1">
      <c r="B102" s="10"/>
      <c r="C102" s="3"/>
      <c r="D102" s="4"/>
      <c r="E102" s="4"/>
      <c r="F102" s="3"/>
      <c r="G102" s="4"/>
      <c r="H102" s="15"/>
      <c r="O102" s="4"/>
      <c r="P102" s="150"/>
    </row>
    <row r="103" spans="2:16" ht="12" customHeight="1">
      <c r="B103" s="10"/>
      <c r="C103" s="3"/>
      <c r="D103" s="4"/>
      <c r="E103" s="245">
        <f>E13</f>
        <v>450</v>
      </c>
      <c r="F103" s="3"/>
      <c r="G103" s="4"/>
      <c r="H103" s="15"/>
      <c r="O103" s="4"/>
      <c r="P103" s="150"/>
    </row>
    <row r="104" spans="2:16" ht="18.75" customHeight="1">
      <c r="B104" s="267" t="s">
        <v>325</v>
      </c>
      <c r="C104" s="359">
        <f>E21</f>
        <v>2.4</v>
      </c>
      <c r="D104" s="250">
        <f>E14</f>
        <v>450</v>
      </c>
      <c r="E104" s="4"/>
      <c r="F104" s="3"/>
      <c r="G104" s="4"/>
      <c r="H104" s="15"/>
      <c r="O104" s="4"/>
      <c r="P104" s="150"/>
    </row>
    <row r="105" spans="2:16" ht="12.75" customHeight="1">
      <c r="B105" s="10"/>
      <c r="C105" s="3"/>
      <c r="D105" s="4"/>
      <c r="E105" s="4"/>
      <c r="F105" s="3"/>
      <c r="G105" s="4"/>
      <c r="H105" s="15"/>
      <c r="O105" s="4"/>
      <c r="P105" s="150"/>
    </row>
    <row r="106" spans="2:16" ht="12.75" customHeight="1">
      <c r="B106" s="10"/>
      <c r="C106" s="3"/>
      <c r="D106" s="4"/>
      <c r="E106" s="4"/>
      <c r="F106" s="3"/>
      <c r="G106" s="4"/>
      <c r="H106" s="15"/>
      <c r="O106" s="4"/>
      <c r="P106" s="150"/>
    </row>
    <row r="107" spans="2:16" ht="12.75" customHeight="1">
      <c r="B107" s="10"/>
      <c r="C107" s="3"/>
      <c r="D107" s="4"/>
      <c r="E107" s="4"/>
      <c r="F107" s="3"/>
      <c r="G107" s="4"/>
      <c r="H107" s="15"/>
      <c r="O107" s="4"/>
      <c r="P107" s="150"/>
    </row>
    <row r="108" spans="2:16" ht="12.75" customHeight="1">
      <c r="B108" s="10"/>
      <c r="C108" s="3"/>
      <c r="D108" s="4"/>
      <c r="E108" s="4"/>
      <c r="F108" s="3"/>
      <c r="G108" s="4"/>
      <c r="H108" s="15"/>
      <c r="O108" s="4"/>
      <c r="P108" s="150"/>
    </row>
    <row r="109" spans="2:16" ht="12.75" customHeight="1">
      <c r="B109" s="10"/>
      <c r="C109" s="3"/>
      <c r="D109" s="4"/>
      <c r="E109" s="4"/>
      <c r="F109" s="3"/>
      <c r="G109" s="4"/>
      <c r="H109" s="15"/>
      <c r="O109" s="4"/>
      <c r="P109" s="150"/>
    </row>
    <row r="110" spans="2:16" ht="12.75" customHeight="1">
      <c r="B110" s="10"/>
      <c r="C110" s="3"/>
      <c r="D110" s="4"/>
      <c r="E110" s="4"/>
      <c r="F110" s="3"/>
      <c r="G110" s="4"/>
      <c r="H110" s="15"/>
      <c r="O110" s="4"/>
      <c r="P110" s="150"/>
    </row>
    <row r="111" spans="2:16" ht="12.75">
      <c r="B111" s="10"/>
      <c r="C111" s="3"/>
      <c r="D111" s="4"/>
      <c r="E111" s="4"/>
      <c r="F111" s="3"/>
      <c r="G111" s="4"/>
      <c r="H111" s="15"/>
      <c r="O111" s="4"/>
      <c r="P111" s="4"/>
    </row>
    <row r="112" spans="2:18" ht="12.75">
      <c r="B112" s="10"/>
      <c r="C112" s="3"/>
      <c r="D112" s="4"/>
      <c r="E112" s="4"/>
      <c r="F112" s="3"/>
      <c r="G112" s="4"/>
      <c r="H112" s="15"/>
      <c r="O112" s="4"/>
      <c r="P112" s="151"/>
      <c r="R112" s="36"/>
    </row>
    <row r="113" spans="2:18" ht="12.75">
      <c r="B113" s="10"/>
      <c r="C113" s="3"/>
      <c r="D113" s="4"/>
      <c r="E113" s="4"/>
      <c r="F113" s="3"/>
      <c r="G113" s="4"/>
      <c r="H113" s="15"/>
      <c r="O113" s="4"/>
      <c r="P113" s="151"/>
      <c r="R113" s="36"/>
    </row>
    <row r="114" spans="2:18" ht="12.75">
      <c r="B114" s="10"/>
      <c r="C114" s="3"/>
      <c r="D114" s="4"/>
      <c r="E114" s="4"/>
      <c r="F114" s="3"/>
      <c r="G114" s="4"/>
      <c r="H114" s="15"/>
      <c r="O114" s="4"/>
      <c r="P114" s="151"/>
      <c r="R114" s="36"/>
    </row>
    <row r="115" spans="2:18" ht="12.75">
      <c r="B115" s="10"/>
      <c r="C115" s="3"/>
      <c r="D115" s="4"/>
      <c r="E115" s="4"/>
      <c r="F115" s="3"/>
      <c r="G115" s="4"/>
      <c r="H115" s="15"/>
      <c r="O115" s="4"/>
      <c r="P115" s="150"/>
      <c r="R115" s="36"/>
    </row>
    <row r="116" spans="2:16" ht="12.75">
      <c r="B116" s="10"/>
      <c r="C116" s="3"/>
      <c r="D116" s="4"/>
      <c r="E116" s="4"/>
      <c r="F116" s="3"/>
      <c r="G116" s="4"/>
      <c r="H116" s="15"/>
      <c r="O116" s="4"/>
      <c r="P116" s="4"/>
    </row>
    <row r="117" spans="2:16" ht="12.75">
      <c r="B117" s="10"/>
      <c r="C117" s="3"/>
      <c r="D117" s="4"/>
      <c r="E117" s="4"/>
      <c r="F117" s="3"/>
      <c r="G117" s="4"/>
      <c r="H117" s="15"/>
      <c r="O117" s="4"/>
      <c r="P117" s="150"/>
    </row>
    <row r="118" spans="2:8" ht="12.75">
      <c r="B118" s="10"/>
      <c r="C118" s="3"/>
      <c r="D118" s="4"/>
      <c r="E118" s="4"/>
      <c r="F118" s="3"/>
      <c r="G118" s="4"/>
      <c r="H118" s="15"/>
    </row>
    <row r="119" spans="2:8" ht="12.75">
      <c r="B119" s="10"/>
      <c r="C119" s="3"/>
      <c r="D119" s="4"/>
      <c r="E119" s="4"/>
      <c r="F119" s="3"/>
      <c r="G119" s="4"/>
      <c r="H119" s="15"/>
    </row>
    <row r="120" spans="2:8" ht="12.75" customHeight="1">
      <c r="B120" s="10"/>
      <c r="C120" s="3"/>
      <c r="D120" s="4"/>
      <c r="E120" s="4"/>
      <c r="F120" s="3"/>
      <c r="G120" s="4"/>
      <c r="H120" s="15"/>
    </row>
    <row r="121" spans="2:8" ht="12.75" customHeight="1">
      <c r="B121" s="10"/>
      <c r="C121" s="3"/>
      <c r="D121" s="4"/>
      <c r="E121" s="4"/>
      <c r="F121" s="3"/>
      <c r="G121" s="1399">
        <f>E45</f>
        <v>650</v>
      </c>
      <c r="H121" s="15"/>
    </row>
    <row r="122" spans="2:8" ht="12.75">
      <c r="B122" s="10"/>
      <c r="C122" s="3"/>
      <c r="D122" s="4"/>
      <c r="E122" s="4"/>
      <c r="F122" s="3"/>
      <c r="G122" s="1399"/>
      <c r="H122" s="15"/>
    </row>
    <row r="123" spans="2:8" ht="15.75" customHeight="1">
      <c r="B123" s="10"/>
      <c r="C123" s="3"/>
      <c r="D123" s="4"/>
      <c r="E123" s="4"/>
      <c r="F123" s="3"/>
      <c r="G123" s="1399"/>
      <c r="H123" s="15"/>
    </row>
    <row r="124" spans="2:17" ht="19.5" customHeight="1">
      <c r="B124" s="10"/>
      <c r="D124" s="4"/>
      <c r="E124" s="4"/>
      <c r="F124" s="3"/>
      <c r="G124" s="1399"/>
      <c r="H124" s="15"/>
      <c r="Q124" s="4"/>
    </row>
    <row r="125" spans="2:17" ht="12.75">
      <c r="B125" s="10"/>
      <c r="C125" s="1407">
        <f>IF(G121&lt;450,150,IF(G121&lt;600,200,IF(G121&lt;750,250,IF(G121&lt;900,300,400))))</f>
        <v>250</v>
      </c>
      <c r="D125" s="4"/>
      <c r="E125" s="4"/>
      <c r="F125" s="3"/>
      <c r="G125" s="4"/>
      <c r="H125" s="15"/>
      <c r="Q125" s="4"/>
    </row>
    <row r="126" spans="2:8" ht="12.75">
      <c r="B126" s="10"/>
      <c r="C126" s="1407"/>
      <c r="D126" s="4"/>
      <c r="E126" s="4"/>
      <c r="F126" s="3"/>
      <c r="G126" s="4"/>
      <c r="H126" s="15"/>
    </row>
    <row r="127" spans="2:8" ht="12.75">
      <c r="B127" s="10"/>
      <c r="C127" s="3"/>
      <c r="D127" s="4"/>
      <c r="E127" s="4"/>
      <c r="F127" s="3"/>
      <c r="G127" s="4"/>
      <c r="H127" s="15"/>
    </row>
    <row r="128" spans="2:8" ht="12.75">
      <c r="B128" s="10"/>
      <c r="C128" s="3"/>
      <c r="D128" s="261">
        <f>D57</f>
        <v>16</v>
      </c>
      <c r="E128" s="262">
        <f>E57</f>
        <v>125</v>
      </c>
      <c r="F128" s="3"/>
      <c r="G128" s="261">
        <f>D58</f>
        <v>16</v>
      </c>
      <c r="H128" s="268">
        <f>E58</f>
        <v>125</v>
      </c>
    </row>
    <row r="129" spans="2:8" ht="12.75" customHeight="1">
      <c r="B129" s="8"/>
      <c r="C129" s="165"/>
      <c r="D129" s="9"/>
      <c r="E129" s="9"/>
      <c r="F129" s="165"/>
      <c r="G129" s="9"/>
      <c r="H129" s="52"/>
    </row>
    <row r="130" ht="15" customHeight="1"/>
    <row r="132" spans="12:16" ht="12.75">
      <c r="L132" s="4"/>
      <c r="M132" s="4"/>
      <c r="N132" s="4"/>
      <c r="O132" s="4"/>
      <c r="P132" s="4"/>
    </row>
    <row r="133" spans="11:16" ht="12.75">
      <c r="K133" s="4"/>
      <c r="L133" s="23"/>
      <c r="M133" s="23"/>
      <c r="N133" s="23"/>
      <c r="O133" s="42"/>
      <c r="P133" s="226"/>
    </row>
    <row r="134" spans="9:16" ht="12.75">
      <c r="I134" s="4"/>
      <c r="K134" s="4"/>
      <c r="L134" s="23"/>
      <c r="M134" s="23"/>
      <c r="N134" s="23"/>
      <c r="O134" s="42"/>
      <c r="P134" s="31"/>
    </row>
    <row r="135" spans="11:15" ht="12.75" customHeight="1">
      <c r="K135" s="4"/>
      <c r="L135" s="23"/>
      <c r="M135" s="23"/>
      <c r="N135" s="23"/>
      <c r="O135" s="42"/>
    </row>
    <row r="143" ht="11.25" customHeight="1"/>
  </sheetData>
  <sheetProtection/>
  <protectedRanges>
    <protectedRange sqref="K33 E45:E46 E64 C78:C79 E40:E41 C68:C69 P33 E74 E89 D57:D58" name="Inputs_1"/>
  </protectedRanges>
  <mergeCells count="16">
    <mergeCell ref="B2:H2"/>
    <mergeCell ref="F20:H20"/>
    <mergeCell ref="D29:E29"/>
    <mergeCell ref="C20:C21"/>
    <mergeCell ref="C50:C51"/>
    <mergeCell ref="C54:D54"/>
    <mergeCell ref="D50:F50"/>
    <mergeCell ref="C55:D55"/>
    <mergeCell ref="D70:E70"/>
    <mergeCell ref="F57:G57"/>
    <mergeCell ref="C62:D62"/>
    <mergeCell ref="F58:G58"/>
    <mergeCell ref="C125:C126"/>
    <mergeCell ref="G121:G124"/>
    <mergeCell ref="D80:E80"/>
    <mergeCell ref="D90:E90"/>
  </mergeCells>
  <dataValidations count="3">
    <dataValidation type="list" allowBlank="1" showInputMessage="1" showErrorMessage="1" sqref="E41">
      <formula1>"250,415,500"</formula1>
    </dataValidation>
    <dataValidation type="list" allowBlank="1" showInputMessage="1" showErrorMessage="1" sqref="E40">
      <formula1>"15,20,25,30"</formula1>
    </dataValidation>
    <dataValidation type="list" showInputMessage="1" showErrorMessage="1" sqref="D57:D58">
      <formula1>" -,12,16,20"</formula1>
    </dataValidation>
  </dataValidations>
  <printOptions horizontalCentered="1"/>
  <pageMargins left="0.25" right="0.25" top="0.2" bottom="0.2" header="0.3" footer="0.3"/>
  <pageSetup orientation="portrait" paperSize="9" scale="95" r:id="rId4"/>
  <headerFooter>
    <oddHeader>&amp;CDesign Of Isolated Footing&amp;R&amp;P of &amp;N</oddHeader>
  </headerFooter>
  <rowBreaks count="2" manualBreakCount="2">
    <brk id="59" max="255" man="1"/>
    <brk id="91" max="255" man="1"/>
  </rowBreaks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14.8515625" style="0" customWidth="1"/>
    <col min="2" max="2" width="16.8515625" style="368" customWidth="1"/>
    <col min="3" max="3" width="14.140625" style="0" customWidth="1"/>
    <col min="4" max="4" width="12.140625" style="0" customWidth="1"/>
    <col min="5" max="5" width="16.421875" style="0" customWidth="1"/>
    <col min="6" max="6" width="13.00390625" style="0" bestFit="1" customWidth="1"/>
    <col min="7" max="7" width="10.7109375" style="0" bestFit="1" customWidth="1"/>
    <col min="10" max="10" width="10.00390625" style="0" bestFit="1" customWidth="1"/>
    <col min="16" max="16" width="7.421875" style="0" bestFit="1" customWidth="1"/>
    <col min="17" max="17" width="8.00390625" style="0" customWidth="1"/>
    <col min="18" max="18" width="9.00390625" style="0" customWidth="1"/>
    <col min="19" max="19" width="9.8515625" style="0" customWidth="1"/>
  </cols>
  <sheetData>
    <row r="1" spans="1:8" ht="12.75">
      <c r="A1" s="401"/>
      <c r="B1" s="366"/>
      <c r="C1" s="283"/>
      <c r="D1" s="283"/>
      <c r="E1" s="283"/>
      <c r="F1" s="284"/>
      <c r="G1" s="284"/>
      <c r="H1" s="285"/>
    </row>
    <row r="2" spans="1:8" ht="15.75">
      <c r="A2" s="1393" t="s">
        <v>961</v>
      </c>
      <c r="B2" s="1394"/>
      <c r="C2" s="1394"/>
      <c r="D2" s="1394"/>
      <c r="E2" s="1394"/>
      <c r="F2" s="1394"/>
      <c r="G2" s="1394"/>
      <c r="H2" s="1395"/>
    </row>
    <row r="3" spans="1:8" ht="12.75">
      <c r="A3" s="402"/>
      <c r="B3" s="379"/>
      <c r="C3" s="229"/>
      <c r="D3" s="229"/>
      <c r="E3" s="229"/>
      <c r="F3" s="286"/>
      <c r="G3" s="286"/>
      <c r="H3" s="287"/>
    </row>
    <row r="4" spans="1:8" ht="12.75">
      <c r="A4" s="403" t="s">
        <v>354</v>
      </c>
      <c r="B4" s="379"/>
      <c r="C4" s="286"/>
      <c r="D4" s="286"/>
      <c r="E4" s="286"/>
      <c r="F4" s="286"/>
      <c r="G4" s="286"/>
      <c r="H4" s="287"/>
    </row>
    <row r="5" spans="1:8" ht="12.75">
      <c r="A5" s="288" t="s">
        <v>360</v>
      </c>
      <c r="B5" s="379" t="s">
        <v>361</v>
      </c>
      <c r="C5" s="64">
        <v>12600</v>
      </c>
      <c r="D5" s="381"/>
      <c r="E5" s="381"/>
      <c r="F5" s="286"/>
      <c r="G5" s="286"/>
      <c r="H5" s="287"/>
    </row>
    <row r="6" spans="1:8" ht="12.75">
      <c r="A6" s="404" t="s">
        <v>355</v>
      </c>
      <c r="B6" s="379" t="s">
        <v>356</v>
      </c>
      <c r="C6" s="64">
        <v>3000</v>
      </c>
      <c r="D6" s="381"/>
      <c r="E6" s="381"/>
      <c r="F6" s="286"/>
      <c r="G6" s="286"/>
      <c r="H6" s="287"/>
    </row>
    <row r="7" spans="1:8" ht="12.75">
      <c r="A7" s="404" t="s">
        <v>358</v>
      </c>
      <c r="B7" s="379" t="s">
        <v>357</v>
      </c>
      <c r="C7" s="64">
        <v>150</v>
      </c>
      <c r="D7" s="381"/>
      <c r="E7" s="381"/>
      <c r="F7" s="286"/>
      <c r="G7" s="286"/>
      <c r="H7" s="287"/>
    </row>
    <row r="8" spans="1:8" ht="12.75">
      <c r="A8" s="404"/>
      <c r="B8" s="379"/>
      <c r="C8" s="286"/>
      <c r="D8" s="286"/>
      <c r="E8" s="286"/>
      <c r="F8" s="286"/>
      <c r="G8" s="286"/>
      <c r="H8" s="287"/>
    </row>
    <row r="9" spans="1:8" ht="6.75" customHeight="1">
      <c r="A9" s="404"/>
      <c r="B9" s="379"/>
      <c r="C9" s="362"/>
      <c r="D9" s="362"/>
      <c r="E9" s="362"/>
      <c r="F9" s="286"/>
      <c r="G9" s="286"/>
      <c r="H9" s="287"/>
    </row>
    <row r="10" spans="1:8" ht="12.75">
      <c r="A10" s="404" t="s">
        <v>359</v>
      </c>
      <c r="B10" s="379" t="s">
        <v>353</v>
      </c>
      <c r="C10" s="370">
        <f>((C5^2)/(8*C6))+(C6/2)</f>
        <v>8115</v>
      </c>
      <c r="D10" s="382"/>
      <c r="E10" s="382"/>
      <c r="F10" s="1412">
        <f>C6/1000</f>
        <v>3</v>
      </c>
      <c r="G10" s="286"/>
      <c r="H10" s="287"/>
    </row>
    <row r="11" spans="1:8" ht="12.75">
      <c r="A11" s="404"/>
      <c r="B11" s="367" t="s">
        <v>362</v>
      </c>
      <c r="C11" s="369">
        <f>DEGREES(ASIN((C5/2)/C10))</f>
        <v>50.92669012374322</v>
      </c>
      <c r="D11" s="369"/>
      <c r="E11" s="369"/>
      <c r="F11" s="1412"/>
      <c r="G11" s="286"/>
      <c r="H11" s="287"/>
    </row>
    <row r="12" spans="1:8" ht="12.75">
      <c r="A12" s="404"/>
      <c r="B12" s="367" t="s">
        <v>363</v>
      </c>
      <c r="C12" s="380">
        <f>C11</f>
        <v>50.92669012374322</v>
      </c>
      <c r="D12" s="380"/>
      <c r="E12" s="380"/>
      <c r="F12" s="1412"/>
      <c r="G12" s="286"/>
      <c r="H12" s="287"/>
    </row>
    <row r="13" spans="1:8" ht="14.25" customHeight="1">
      <c r="A13" s="404"/>
      <c r="B13" s="379"/>
      <c r="C13" s="363"/>
      <c r="D13" s="363"/>
      <c r="E13" s="363"/>
      <c r="F13" s="1412"/>
      <c r="G13" s="286"/>
      <c r="H13" s="287"/>
    </row>
    <row r="14" spans="1:8" ht="12.75">
      <c r="A14" s="404"/>
      <c r="B14" s="379"/>
      <c r="C14" s="363"/>
      <c r="D14" s="363"/>
      <c r="E14" s="363"/>
      <c r="F14" s="286"/>
      <c r="G14" s="286"/>
      <c r="H14" s="287"/>
    </row>
    <row r="15" spans="1:9" ht="12.75">
      <c r="A15" s="402" t="s">
        <v>88</v>
      </c>
      <c r="B15" s="379"/>
      <c r="C15" s="286"/>
      <c r="D15" s="286"/>
      <c r="E15" s="286"/>
      <c r="F15" s="390">
        <f>C5/1000</f>
        <v>12.6</v>
      </c>
      <c r="G15" s="286"/>
      <c r="H15" s="287"/>
      <c r="I15" s="417"/>
    </row>
    <row r="16" spans="1:9" ht="12.75">
      <c r="A16" s="404" t="s">
        <v>364</v>
      </c>
      <c r="B16" s="379" t="s">
        <v>365</v>
      </c>
      <c r="C16" s="419">
        <f>(C7*25)/1000</f>
        <v>3.75</v>
      </c>
      <c r="D16" s="378"/>
      <c r="E16" s="371"/>
      <c r="F16" s="286"/>
      <c r="G16" s="286"/>
      <c r="H16" s="287"/>
      <c r="I16" s="418"/>
    </row>
    <row r="17" spans="1:9" ht="15.75" customHeight="1">
      <c r="A17" s="404" t="s">
        <v>92</v>
      </c>
      <c r="B17" s="379" t="s">
        <v>367</v>
      </c>
      <c r="C17" s="420">
        <v>0.1</v>
      </c>
      <c r="D17" s="372"/>
      <c r="E17" s="372"/>
      <c r="F17" s="339">
        <f>C11</f>
        <v>50.92669012374322</v>
      </c>
      <c r="G17" s="391">
        <f>C10/1000</f>
        <v>8.115</v>
      </c>
      <c r="H17" s="287"/>
      <c r="I17" s="418"/>
    </row>
    <row r="18" spans="1:9" ht="12.75" customHeight="1">
      <c r="A18" s="404" t="s">
        <v>366</v>
      </c>
      <c r="B18" s="379" t="s">
        <v>368</v>
      </c>
      <c r="C18" s="420">
        <v>0.1</v>
      </c>
      <c r="D18" s="372"/>
      <c r="E18" s="372"/>
      <c r="F18" s="286"/>
      <c r="G18" s="389">
        <f>C10</f>
        <v>8115</v>
      </c>
      <c r="H18" s="287"/>
      <c r="I18" s="417"/>
    </row>
    <row r="19" spans="1:9" ht="12.75">
      <c r="A19" s="404" t="s">
        <v>95</v>
      </c>
      <c r="B19" s="379" t="s">
        <v>370</v>
      </c>
      <c r="C19" s="419">
        <f>SUM(C16:C18)</f>
        <v>3.95</v>
      </c>
      <c r="D19" s="371"/>
      <c r="E19" s="371"/>
      <c r="F19" s="286"/>
      <c r="G19" s="389"/>
      <c r="H19" s="287"/>
      <c r="I19" s="417"/>
    </row>
    <row r="20" spans="1:8" ht="12.75">
      <c r="A20" s="405" t="s">
        <v>96</v>
      </c>
      <c r="B20" s="379" t="s">
        <v>369</v>
      </c>
      <c r="C20" s="419">
        <f>1.5*C19</f>
        <v>5.925000000000001</v>
      </c>
      <c r="D20" s="371"/>
      <c r="E20" s="371"/>
      <c r="F20" s="286"/>
      <c r="G20" s="389"/>
      <c r="H20" s="287"/>
    </row>
    <row r="21" spans="1:8" ht="12.75">
      <c r="A21" s="405"/>
      <c r="B21" s="379"/>
      <c r="C21" s="364"/>
      <c r="D21" s="364"/>
      <c r="E21" s="364"/>
      <c r="F21" s="286"/>
      <c r="G21" s="389"/>
      <c r="H21" s="287"/>
    </row>
    <row r="22" spans="1:8" ht="12.75">
      <c r="A22" s="405" t="s">
        <v>371</v>
      </c>
      <c r="B22" s="379"/>
      <c r="C22" s="364"/>
      <c r="D22" s="364"/>
      <c r="E22" s="384" t="s">
        <v>392</v>
      </c>
      <c r="F22" s="379"/>
      <c r="G22" s="364"/>
      <c r="H22" s="287"/>
    </row>
    <row r="23" spans="1:8" ht="12.75">
      <c r="A23" s="406"/>
      <c r="B23" s="198" t="s">
        <v>372</v>
      </c>
      <c r="C23" s="198" t="s">
        <v>373</v>
      </c>
      <c r="D23" s="223"/>
      <c r="E23" s="373"/>
      <c r="F23" s="198" t="s">
        <v>372</v>
      </c>
      <c r="G23" s="198" t="s">
        <v>373</v>
      </c>
      <c r="H23" s="287"/>
    </row>
    <row r="24" spans="1:12" ht="12.75">
      <c r="A24" s="405"/>
      <c r="B24" s="375">
        <f>C11</f>
        <v>50.92669012374322</v>
      </c>
      <c r="C24" s="374">
        <f>(($C$20*$C$10)/($C$7)/1000)*(1/(1+(COS(RADIANS(B24)))))</f>
        <v>0.19661393707482996</v>
      </c>
      <c r="D24" s="383"/>
      <c r="E24" s="235"/>
      <c r="F24" s="375">
        <f>C11</f>
        <v>50.92669012374322</v>
      </c>
      <c r="G24" s="374">
        <f>((($C$16*$C$10)/($C$7)/1000))*((((COS(RADIANS(F24)))^2)+(COS(RADIANS(F24)))-1)/(1+(COS(RADIANS(F24)))))</f>
        <v>0.0034357993197279045</v>
      </c>
      <c r="H24" s="287"/>
      <c r="J24">
        <f>ABS(C24)</f>
        <v>0.19661393707482996</v>
      </c>
      <c r="L24">
        <f aca="true" t="shared" si="0" ref="L24:L33">ABS(G24)</f>
        <v>0.0034357993197279045</v>
      </c>
    </row>
    <row r="25" spans="1:12" ht="12.75">
      <c r="A25" s="405"/>
      <c r="B25" s="375">
        <v>45</v>
      </c>
      <c r="C25" s="374">
        <f aca="true" t="shared" si="1" ref="C25:C33">(($C$20*$C$10)/($C$7)/1000)*(1/(1+(COS(RADIANS(B25)))))</f>
        <v>0.1877694491830222</v>
      </c>
      <c r="D25" s="383"/>
      <c r="E25" s="235"/>
      <c r="F25" s="375">
        <v>45</v>
      </c>
      <c r="G25" s="374">
        <f aca="true" t="shared" si="2" ref="G25:G33">((($C$16*$C$10)/($C$7)/1000))*((((COS(RADIANS(F25)))^2)+(COS(RADIANS(F25)))-1)/(1+(COS(RADIANS(F25)))))</f>
        <v>0.024612864699662507</v>
      </c>
      <c r="H25" s="287"/>
      <c r="J25">
        <f aca="true" t="shared" si="3" ref="J25:J33">ABS(C25)</f>
        <v>0.1877694491830222</v>
      </c>
      <c r="L25">
        <f t="shared" si="0"/>
        <v>0.024612864699662507</v>
      </c>
    </row>
    <row r="26" spans="1:12" ht="12.75">
      <c r="A26" s="405"/>
      <c r="B26" s="375">
        <v>40</v>
      </c>
      <c r="C26" s="374">
        <f t="shared" si="1"/>
        <v>0.181503076691488</v>
      </c>
      <c r="D26" s="383"/>
      <c r="E26" s="235"/>
      <c r="F26" s="375">
        <v>40</v>
      </c>
      <c r="G26" s="374">
        <f t="shared" si="2"/>
        <v>0.04053590140315004</v>
      </c>
      <c r="H26" s="287"/>
      <c r="J26">
        <f t="shared" si="3"/>
        <v>0.181503076691488</v>
      </c>
      <c r="L26">
        <f t="shared" si="0"/>
        <v>0.04053590140315004</v>
      </c>
    </row>
    <row r="27" spans="1:12" ht="12.75">
      <c r="A27" s="405"/>
      <c r="B27" s="375">
        <v>35</v>
      </c>
      <c r="C27" s="374">
        <f t="shared" si="1"/>
        <v>0.17620434806771898</v>
      </c>
      <c r="D27" s="383"/>
      <c r="E27" s="235"/>
      <c r="F27" s="375">
        <v>35</v>
      </c>
      <c r="G27" s="374">
        <f t="shared" si="2"/>
        <v>0.05466373170176277</v>
      </c>
      <c r="H27" s="287"/>
      <c r="J27">
        <f t="shared" si="3"/>
        <v>0.17620434806771898</v>
      </c>
      <c r="L27">
        <f t="shared" si="0"/>
        <v>0.05466373170176277</v>
      </c>
    </row>
    <row r="28" spans="1:12" ht="12.75">
      <c r="A28" s="405"/>
      <c r="B28" s="375">
        <v>30</v>
      </c>
      <c r="C28" s="374">
        <f t="shared" si="1"/>
        <v>0.17177820802970634</v>
      </c>
      <c r="D28" s="383"/>
      <c r="E28" s="235"/>
      <c r="F28" s="375">
        <v>30</v>
      </c>
      <c r="G28" s="374">
        <f t="shared" si="2"/>
        <v>0.06697451896383996</v>
      </c>
      <c r="H28" s="287"/>
      <c r="J28">
        <f t="shared" si="3"/>
        <v>0.17177820802970634</v>
      </c>
      <c r="L28">
        <f t="shared" si="0"/>
        <v>0.06697451896383996</v>
      </c>
    </row>
    <row r="29" spans="1:12" ht="12.75">
      <c r="A29" s="405"/>
      <c r="B29" s="375">
        <v>25</v>
      </c>
      <c r="C29" s="374">
        <f t="shared" si="1"/>
        <v>0.16814834528808303</v>
      </c>
      <c r="D29" s="383"/>
      <c r="E29" s="235"/>
      <c r="F29" s="375">
        <v>25</v>
      </c>
      <c r="G29" s="374">
        <f t="shared" si="2"/>
        <v>0.07744418894817237</v>
      </c>
      <c r="H29" s="287"/>
      <c r="J29">
        <f t="shared" si="3"/>
        <v>0.16814834528808303</v>
      </c>
      <c r="L29">
        <f t="shared" si="0"/>
        <v>0.07744418894817237</v>
      </c>
    </row>
    <row r="30" spans="1:12" ht="12.75">
      <c r="A30" s="404"/>
      <c r="B30" s="375">
        <v>20</v>
      </c>
      <c r="C30" s="374">
        <f t="shared" si="1"/>
        <v>0.1652542761492413</v>
      </c>
      <c r="D30" s="383"/>
      <c r="E30" s="228"/>
      <c r="F30" s="375">
        <v>20</v>
      </c>
      <c r="G30" s="374">
        <f t="shared" si="2"/>
        <v>0.08604882642343403</v>
      </c>
      <c r="H30" s="287"/>
      <c r="J30">
        <f t="shared" si="3"/>
        <v>0.1652542761492413</v>
      </c>
      <c r="L30">
        <f t="shared" si="0"/>
        <v>0.08604882642343403</v>
      </c>
    </row>
    <row r="31" spans="1:12" ht="12.75">
      <c r="A31" s="404"/>
      <c r="B31" s="375">
        <v>15</v>
      </c>
      <c r="C31" s="374">
        <f t="shared" si="1"/>
        <v>0.16304913222746772</v>
      </c>
      <c r="D31" s="383"/>
      <c r="E31" s="228"/>
      <c r="F31" s="375">
        <v>15</v>
      </c>
      <c r="G31" s="374">
        <f t="shared" si="2"/>
        <v>0.0927665486998709</v>
      </c>
      <c r="H31" s="287"/>
      <c r="J31">
        <f t="shared" si="3"/>
        <v>0.16304913222746772</v>
      </c>
      <c r="L31">
        <f t="shared" si="0"/>
        <v>0.0927665486998709</v>
      </c>
    </row>
    <row r="32" spans="1:12" ht="12.75">
      <c r="A32" s="404"/>
      <c r="B32" s="375">
        <v>5</v>
      </c>
      <c r="C32" s="374">
        <f t="shared" si="1"/>
        <v>0.16057677154759575</v>
      </c>
      <c r="D32" s="383"/>
      <c r="E32" s="228"/>
      <c r="F32" s="375">
        <v>5</v>
      </c>
      <c r="G32" s="374">
        <f t="shared" si="2"/>
        <v>0.10047213130726433</v>
      </c>
      <c r="H32" s="287"/>
      <c r="J32">
        <f t="shared" si="3"/>
        <v>0.16057677154759575</v>
      </c>
      <c r="L32">
        <f t="shared" si="0"/>
        <v>0.10047213130726433</v>
      </c>
    </row>
    <row r="33" spans="1:12" ht="12.75">
      <c r="A33" s="404"/>
      <c r="B33" s="375">
        <v>0</v>
      </c>
      <c r="C33" s="374">
        <f t="shared" si="1"/>
        <v>0.16027125000000003</v>
      </c>
      <c r="D33" s="383"/>
      <c r="E33" s="228"/>
      <c r="F33" s="375">
        <v>0</v>
      </c>
      <c r="G33" s="374">
        <f t="shared" si="2"/>
        <v>0.1014375</v>
      </c>
      <c r="H33" s="287"/>
      <c r="J33">
        <f t="shared" si="3"/>
        <v>0.16027125000000003</v>
      </c>
      <c r="L33">
        <f t="shared" si="0"/>
        <v>0.1014375</v>
      </c>
    </row>
    <row r="34" spans="1:8" ht="12.75">
      <c r="A34" s="288"/>
      <c r="B34" s="379"/>
      <c r="C34" s="365"/>
      <c r="D34" s="365"/>
      <c r="E34" s="286"/>
      <c r="F34" s="379"/>
      <c r="G34" s="365"/>
      <c r="H34" s="287"/>
    </row>
    <row r="35" spans="1:10" ht="12.75">
      <c r="A35" s="405" t="s">
        <v>374</v>
      </c>
      <c r="B35" s="379"/>
      <c r="C35" s="374">
        <f>MAX(J24:J33)</f>
        <v>0.19661393707482996</v>
      </c>
      <c r="D35" s="383"/>
      <c r="E35" s="384" t="s">
        <v>393</v>
      </c>
      <c r="F35" s="379"/>
      <c r="G35" s="374">
        <f>MAX(L24:L33)</f>
        <v>0.1014375</v>
      </c>
      <c r="H35" s="287"/>
      <c r="J35" s="377"/>
    </row>
    <row r="36" spans="1:8" ht="12.75">
      <c r="A36" s="288"/>
      <c r="B36" s="379"/>
      <c r="C36" s="365"/>
      <c r="D36" s="365"/>
      <c r="E36" s="365"/>
      <c r="F36" s="286"/>
      <c r="G36" s="286"/>
      <c r="H36" s="287"/>
    </row>
    <row r="37" spans="1:19" ht="12.75" customHeight="1">
      <c r="A37" s="288"/>
      <c r="B37" s="379"/>
      <c r="C37" s="286"/>
      <c r="D37" s="365"/>
      <c r="E37" s="365"/>
      <c r="F37" s="286"/>
      <c r="G37" s="286"/>
      <c r="H37" s="287"/>
      <c r="P37" s="1413" t="s">
        <v>396</v>
      </c>
      <c r="Q37" s="1413"/>
      <c r="R37" s="1413" t="s">
        <v>409</v>
      </c>
      <c r="S37" s="1413"/>
    </row>
    <row r="38" spans="1:19" ht="12.75">
      <c r="A38" s="288"/>
      <c r="B38" s="286"/>
      <c r="C38" s="286"/>
      <c r="D38" s="407" t="s">
        <v>41</v>
      </c>
      <c r="E38" s="395">
        <v>20</v>
      </c>
      <c r="F38" s="286"/>
      <c r="G38" s="286"/>
      <c r="H38" s="287"/>
      <c r="P38" s="1413"/>
      <c r="Q38" s="1413"/>
      <c r="R38" s="1413"/>
      <c r="S38" s="1413"/>
    </row>
    <row r="39" spans="1:18" ht="12.75">
      <c r="A39" s="288"/>
      <c r="B39" s="286"/>
      <c r="C39" s="286"/>
      <c r="D39" s="394" t="s">
        <v>412</v>
      </c>
      <c r="E39" s="395">
        <v>415</v>
      </c>
      <c r="F39" s="392"/>
      <c r="G39" s="286"/>
      <c r="H39" s="287"/>
      <c r="P39" s="393" t="s">
        <v>398</v>
      </c>
      <c r="Q39" s="393" t="s">
        <v>399</v>
      </c>
      <c r="R39" s="393" t="s">
        <v>411</v>
      </c>
    </row>
    <row r="40" spans="1:18" ht="12.75">
      <c r="A40" s="408"/>
      <c r="B40" s="286"/>
      <c r="C40" s="286"/>
      <c r="D40" s="407" t="s">
        <v>395</v>
      </c>
      <c r="E40" s="473">
        <f>IF(E39=250,140,IF(E39=415,230,IF(E39=500,275)))</f>
        <v>230</v>
      </c>
      <c r="F40" s="373"/>
      <c r="G40" s="286"/>
      <c r="H40" s="287"/>
      <c r="L40" s="393" t="s">
        <v>49</v>
      </c>
      <c r="M40" s="393" t="s">
        <v>395</v>
      </c>
      <c r="P40" s="393" t="s">
        <v>394</v>
      </c>
      <c r="Q40" s="393" t="s">
        <v>397</v>
      </c>
      <c r="R40" s="393" t="s">
        <v>410</v>
      </c>
    </row>
    <row r="41" spans="1:18" ht="12.75">
      <c r="A41" s="288"/>
      <c r="B41" s="286"/>
      <c r="C41" s="286"/>
      <c r="D41" s="286"/>
      <c r="E41" s="286"/>
      <c r="F41" s="286"/>
      <c r="G41" s="286"/>
      <c r="H41" s="287"/>
      <c r="L41">
        <v>250</v>
      </c>
      <c r="M41">
        <v>140</v>
      </c>
      <c r="O41" s="393" t="s">
        <v>400</v>
      </c>
      <c r="P41">
        <v>3</v>
      </c>
      <c r="Q41">
        <v>2.5</v>
      </c>
      <c r="R41" s="393" t="s">
        <v>32</v>
      </c>
    </row>
    <row r="42" spans="1:18" ht="12.75">
      <c r="A42" s="288"/>
      <c r="B42" s="386" t="s">
        <v>413</v>
      </c>
      <c r="C42" s="82">
        <f>(C35*C7*1000)/E40</f>
        <v>128.22648070097605</v>
      </c>
      <c r="D42" s="286"/>
      <c r="E42" s="286"/>
      <c r="F42" s="386" t="s">
        <v>413</v>
      </c>
      <c r="G42" s="82">
        <f>(G35*C7*1000)/E40</f>
        <v>66.15489130434783</v>
      </c>
      <c r="H42" s="287"/>
      <c r="L42">
        <v>415</v>
      </c>
      <c r="M42">
        <v>230</v>
      </c>
      <c r="O42" s="393" t="s">
        <v>405</v>
      </c>
      <c r="P42">
        <v>5</v>
      </c>
      <c r="Q42">
        <v>4</v>
      </c>
      <c r="R42">
        <v>0.6</v>
      </c>
    </row>
    <row r="43" spans="1:18" ht="12.75">
      <c r="A43" s="288"/>
      <c r="B43" s="286"/>
      <c r="C43" s="286"/>
      <c r="D43" s="286"/>
      <c r="E43" s="383"/>
      <c r="F43" s="286"/>
      <c r="G43" s="286"/>
      <c r="H43" s="287"/>
      <c r="L43">
        <v>500</v>
      </c>
      <c r="M43">
        <v>275</v>
      </c>
      <c r="O43" s="393" t="s">
        <v>401</v>
      </c>
      <c r="P43">
        <v>7</v>
      </c>
      <c r="Q43">
        <v>5</v>
      </c>
      <c r="R43">
        <v>0.8</v>
      </c>
    </row>
    <row r="44" spans="1:18" ht="12.75">
      <c r="A44" s="288"/>
      <c r="B44" s="397" t="s">
        <v>414</v>
      </c>
      <c r="C44" s="64">
        <v>10</v>
      </c>
      <c r="D44" s="286"/>
      <c r="E44" s="373"/>
      <c r="F44" s="397" t="s">
        <v>414</v>
      </c>
      <c r="G44" s="64">
        <v>10</v>
      </c>
      <c r="H44" s="287"/>
      <c r="O44" s="393" t="s">
        <v>406</v>
      </c>
      <c r="P44">
        <v>8.5</v>
      </c>
      <c r="Q44">
        <v>6</v>
      </c>
      <c r="R44">
        <v>0.9</v>
      </c>
    </row>
    <row r="45" spans="1:18" ht="12.75">
      <c r="A45" s="288"/>
      <c r="B45" s="398" t="s">
        <v>25</v>
      </c>
      <c r="C45" s="396">
        <f>(((PI()*C44^2)/4)/C42)*1000</f>
        <v>612.5085544763531</v>
      </c>
      <c r="D45" s="286"/>
      <c r="E45" s="383"/>
      <c r="F45" s="398" t="s">
        <v>25</v>
      </c>
      <c r="G45" s="396">
        <f>(((PI()*G44^2)/4)/G42)*1000</f>
        <v>1187.2110253861615</v>
      </c>
      <c r="H45" s="287"/>
      <c r="O45" s="393" t="s">
        <v>402</v>
      </c>
      <c r="P45">
        <v>10</v>
      </c>
      <c r="Q45">
        <v>8</v>
      </c>
      <c r="R45">
        <v>1</v>
      </c>
    </row>
    <row r="46" spans="1:18" ht="12.75">
      <c r="A46" s="288"/>
      <c r="B46" s="286"/>
      <c r="C46" s="286"/>
      <c r="D46" s="286"/>
      <c r="E46" s="387"/>
      <c r="F46" s="286"/>
      <c r="G46" s="286"/>
      <c r="H46" s="287"/>
      <c r="O46" s="393" t="s">
        <v>407</v>
      </c>
      <c r="P46">
        <v>11.5</v>
      </c>
      <c r="Q46">
        <v>9</v>
      </c>
      <c r="R46">
        <v>1.1</v>
      </c>
    </row>
    <row r="47" spans="1:18" ht="12.75">
      <c r="A47" s="288"/>
      <c r="B47" s="286"/>
      <c r="C47" s="286"/>
      <c r="D47" s="286"/>
      <c r="E47" s="383"/>
      <c r="F47" s="286"/>
      <c r="G47" s="286"/>
      <c r="H47" s="287"/>
      <c r="O47" s="393" t="s">
        <v>403</v>
      </c>
      <c r="P47">
        <v>13</v>
      </c>
      <c r="Q47">
        <v>10</v>
      </c>
      <c r="R47">
        <v>1.2</v>
      </c>
    </row>
    <row r="48" spans="1:18" ht="12.75">
      <c r="A48" s="288"/>
      <c r="B48" s="286"/>
      <c r="C48" s="286"/>
      <c r="D48" s="286"/>
      <c r="E48" s="383"/>
      <c r="F48" s="286"/>
      <c r="G48" s="286"/>
      <c r="H48" s="287"/>
      <c r="O48" s="393" t="s">
        <v>408</v>
      </c>
      <c r="P48">
        <v>14.5</v>
      </c>
      <c r="Q48">
        <v>11</v>
      </c>
      <c r="R48">
        <v>1.3</v>
      </c>
    </row>
    <row r="49" spans="1:15" ht="12.75">
      <c r="A49" s="288"/>
      <c r="B49" s="392" t="s">
        <v>461</v>
      </c>
      <c r="C49" s="286"/>
      <c r="D49" s="474">
        <f>((C24*C7*1000))/1000</f>
        <v>29.492090561224494</v>
      </c>
      <c r="E49" s="399"/>
      <c r="F49" s="286"/>
      <c r="G49" s="286"/>
      <c r="H49" s="287"/>
      <c r="O49" s="393"/>
    </row>
    <row r="50" spans="1:18" ht="12.75">
      <c r="A50" s="288"/>
      <c r="B50" s="392" t="s">
        <v>416</v>
      </c>
      <c r="C50" s="286"/>
      <c r="D50" s="474">
        <f>((C24*C7*1000)*(COS(RADIANS(B24))))/1000</f>
        <v>18.589284438775515</v>
      </c>
      <c r="E50" s="399"/>
      <c r="F50" s="286"/>
      <c r="G50" s="286"/>
      <c r="H50" s="287"/>
      <c r="O50" s="393" t="s">
        <v>404</v>
      </c>
      <c r="P50">
        <v>16</v>
      </c>
      <c r="Q50">
        <v>12</v>
      </c>
      <c r="R50">
        <v>1.4</v>
      </c>
    </row>
    <row r="51" spans="1:8" ht="12.75">
      <c r="A51" s="288"/>
      <c r="B51" s="392" t="s">
        <v>415</v>
      </c>
      <c r="C51" s="286"/>
      <c r="D51" s="475">
        <f>(D50*(C5/(2*1000)))</f>
        <v>117.11249196428574</v>
      </c>
      <c r="E51" s="400"/>
      <c r="F51" s="286"/>
      <c r="G51" s="286"/>
      <c r="H51" s="287"/>
    </row>
    <row r="52" spans="1:8" ht="12.75">
      <c r="A52" s="288"/>
      <c r="B52" s="392"/>
      <c r="C52" s="286"/>
      <c r="D52" s="286"/>
      <c r="E52" s="383"/>
      <c r="F52" s="286"/>
      <c r="G52" s="286"/>
      <c r="H52" s="287"/>
    </row>
    <row r="53" spans="1:8" ht="16.5" customHeight="1">
      <c r="A53" s="288"/>
      <c r="B53" s="386" t="s">
        <v>413</v>
      </c>
      <c r="C53" s="82">
        <f>(D51*1000)/E40</f>
        <v>509.18474767080755</v>
      </c>
      <c r="D53" s="286"/>
      <c r="E53" s="376"/>
      <c r="F53" s="286"/>
      <c r="G53" s="286"/>
      <c r="H53" s="287"/>
    </row>
    <row r="54" spans="1:8" ht="12.75">
      <c r="A54" s="385"/>
      <c r="B54" s="286"/>
      <c r="C54" s="286"/>
      <c r="D54" s="388"/>
      <c r="E54" s="365"/>
      <c r="F54" s="286"/>
      <c r="G54" s="286"/>
      <c r="H54" s="287"/>
    </row>
    <row r="55" spans="1:8" ht="12.75">
      <c r="A55" s="288"/>
      <c r="B55" s="397" t="s">
        <v>414</v>
      </c>
      <c r="C55" s="64">
        <v>16</v>
      </c>
      <c r="D55" s="365"/>
      <c r="E55" s="365"/>
      <c r="F55" s="286"/>
      <c r="G55" s="286"/>
      <c r="H55" s="287"/>
    </row>
    <row r="56" spans="1:8" ht="12.75">
      <c r="A56" s="288"/>
      <c r="B56" s="398" t="s">
        <v>417</v>
      </c>
      <c r="C56" s="476">
        <f>(C53/((PI()*C55^2)/4))</f>
        <v>2.5324771730877647</v>
      </c>
      <c r="D56" s="365"/>
      <c r="E56" s="365"/>
      <c r="F56" s="286"/>
      <c r="G56" s="286"/>
      <c r="H56" s="287"/>
    </row>
    <row r="57" spans="1:8" ht="12.75">
      <c r="A57" s="288"/>
      <c r="B57" s="379"/>
      <c r="C57" s="365"/>
      <c r="D57" s="365"/>
      <c r="E57" s="365"/>
      <c r="F57" s="286"/>
      <c r="G57" s="286"/>
      <c r="H57" s="287"/>
    </row>
    <row r="58" spans="1:8" ht="12.75">
      <c r="A58" s="288"/>
      <c r="B58" s="379"/>
      <c r="C58" s="365"/>
      <c r="D58" s="365"/>
      <c r="E58" s="365"/>
      <c r="F58" s="286"/>
      <c r="G58" s="286"/>
      <c r="H58" s="287"/>
    </row>
    <row r="59" spans="1:8" ht="12.75">
      <c r="A59" s="288"/>
      <c r="B59" s="379"/>
      <c r="C59" s="365"/>
      <c r="D59" s="365"/>
      <c r="E59" s="365"/>
      <c r="F59" s="286"/>
      <c r="G59" s="286"/>
      <c r="H59" s="287"/>
    </row>
    <row r="60" spans="1:8" ht="12.75">
      <c r="A60" s="288"/>
      <c r="B60" s="379"/>
      <c r="C60" s="365"/>
      <c r="D60" s="365"/>
      <c r="E60" s="365"/>
      <c r="F60" s="286"/>
      <c r="G60" s="286"/>
      <c r="H60" s="287"/>
    </row>
    <row r="61" spans="1:8" ht="12.75">
      <c r="A61" s="288"/>
      <c r="B61" s="379"/>
      <c r="C61" s="365"/>
      <c r="D61" s="365"/>
      <c r="E61" s="365"/>
      <c r="F61" s="286"/>
      <c r="G61" s="286"/>
      <c r="H61" s="287"/>
    </row>
    <row r="62" spans="1:8" ht="12.75">
      <c r="A62" s="288"/>
      <c r="B62" s="379"/>
      <c r="C62" s="365"/>
      <c r="D62" s="365"/>
      <c r="E62" s="365"/>
      <c r="F62" s="286"/>
      <c r="G62" s="286"/>
      <c r="H62" s="287"/>
    </row>
    <row r="63" spans="1:8" ht="12.75">
      <c r="A63" s="288"/>
      <c r="B63" s="379"/>
      <c r="C63" s="365"/>
      <c r="D63" s="365"/>
      <c r="E63" s="365"/>
      <c r="F63" s="286"/>
      <c r="G63" s="286"/>
      <c r="H63" s="287"/>
    </row>
    <row r="64" spans="1:8" ht="12.75">
      <c r="A64" s="288"/>
      <c r="B64" s="379"/>
      <c r="C64" s="365"/>
      <c r="D64" s="365"/>
      <c r="E64" s="365"/>
      <c r="F64" s="286"/>
      <c r="G64" s="286"/>
      <c r="H64" s="287"/>
    </row>
    <row r="65" spans="1:8" ht="12.75">
      <c r="A65" s="288"/>
      <c r="B65" s="379"/>
      <c r="C65" s="365"/>
      <c r="D65" s="365"/>
      <c r="E65" s="365"/>
      <c r="F65" s="286"/>
      <c r="G65" s="286"/>
      <c r="H65" s="287"/>
    </row>
    <row r="66" spans="1:8" ht="12.75">
      <c r="A66" s="288"/>
      <c r="B66" s="379"/>
      <c r="C66" s="365"/>
      <c r="D66" s="365"/>
      <c r="E66" s="365"/>
      <c r="F66" s="286"/>
      <c r="G66" s="286"/>
      <c r="H66" s="287"/>
    </row>
    <row r="67" spans="1:8" ht="12.75">
      <c r="A67" s="288"/>
      <c r="B67" s="379"/>
      <c r="C67" s="365"/>
      <c r="D67" s="365"/>
      <c r="E67" s="365"/>
      <c r="F67" s="286"/>
      <c r="G67" s="286"/>
      <c r="H67" s="287"/>
    </row>
    <row r="68" spans="1:8" ht="12.75">
      <c r="A68" s="288"/>
      <c r="B68" s="379"/>
      <c r="C68" s="365"/>
      <c r="D68" s="365"/>
      <c r="E68" s="365"/>
      <c r="F68" s="286"/>
      <c r="G68" s="286"/>
      <c r="H68" s="287"/>
    </row>
    <row r="69" spans="1:8" ht="12.75">
      <c r="A69" s="288"/>
      <c r="B69" s="379"/>
      <c r="C69" s="365"/>
      <c r="D69" s="365"/>
      <c r="E69" s="365"/>
      <c r="F69" s="286"/>
      <c r="G69" s="286"/>
      <c r="H69" s="287"/>
    </row>
    <row r="70" spans="1:8" ht="12.75">
      <c r="A70" s="288"/>
      <c r="B70" s="379"/>
      <c r="C70" s="365"/>
      <c r="D70" s="365"/>
      <c r="E70" s="365"/>
      <c r="F70" s="286"/>
      <c r="G70" s="286"/>
      <c r="H70" s="287"/>
    </row>
  </sheetData>
  <sheetProtection/>
  <protectedRanges>
    <protectedRange sqref="E38" name="Inputs_1_1"/>
    <protectedRange sqref="C55 G44 C44" name="Inputs"/>
  </protectedRanges>
  <mergeCells count="4">
    <mergeCell ref="F10:F13"/>
    <mergeCell ref="P37:Q38"/>
    <mergeCell ref="R37:S38"/>
    <mergeCell ref="A2:H2"/>
  </mergeCells>
  <dataValidations count="4">
    <dataValidation type="list" allowBlank="1" showInputMessage="1" showErrorMessage="1" sqref="E39">
      <formula1>"250,415,500"</formula1>
    </dataValidation>
    <dataValidation type="list" allowBlank="1" showInputMessage="1" showErrorMessage="1" sqref="E38">
      <formula1>"15,20,25,30"</formula1>
    </dataValidation>
    <dataValidation type="list" showInputMessage="1" showErrorMessage="1" sqref="C55">
      <formula1>" -,8,10,12,16,20,25,32"</formula1>
    </dataValidation>
    <dataValidation type="list" showInputMessage="1" showErrorMessage="1" sqref="G44 C44">
      <formula1>" -,8,10,12"</formula1>
    </dataValidation>
  </dataValidations>
  <printOptions/>
  <pageMargins left="0.2" right="0.2" top="0.25" bottom="0.25" header="0" footer="0"/>
  <pageSetup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16.421875" style="0" customWidth="1"/>
    <col min="2" max="2" width="16.8515625" style="368" customWidth="1"/>
    <col min="3" max="3" width="13.00390625" style="0" customWidth="1"/>
    <col min="4" max="4" width="13.28125" style="0" customWidth="1"/>
    <col min="5" max="5" width="16.421875" style="0" customWidth="1"/>
    <col min="6" max="6" width="15.140625" style="0" customWidth="1"/>
    <col min="7" max="7" width="13.00390625" style="0" customWidth="1"/>
    <col min="10" max="10" width="10.00390625" style="0" bestFit="1" customWidth="1"/>
    <col min="16" max="16" width="7.421875" style="0" bestFit="1" customWidth="1"/>
    <col min="17" max="17" width="8.00390625" style="0" customWidth="1"/>
    <col min="18" max="18" width="9.00390625" style="0" customWidth="1"/>
    <col min="19" max="19" width="9.8515625" style="0" customWidth="1"/>
  </cols>
  <sheetData>
    <row r="1" spans="1:8" ht="12.75">
      <c r="A1" s="401"/>
      <c r="B1" s="282"/>
      <c r="C1" s="282"/>
      <c r="D1" s="282"/>
      <c r="E1" s="282"/>
      <c r="F1" s="282"/>
      <c r="G1" s="282"/>
      <c r="H1" s="414"/>
    </row>
    <row r="2" spans="1:8" ht="15.75">
      <c r="A2" s="1393" t="s">
        <v>962</v>
      </c>
      <c r="B2" s="1394"/>
      <c r="C2" s="1394"/>
      <c r="D2" s="1394"/>
      <c r="E2" s="1394"/>
      <c r="F2" s="1394"/>
      <c r="G2" s="1394"/>
      <c r="H2" s="1395"/>
    </row>
    <row r="3" spans="1:8" ht="12.75">
      <c r="A3" s="404"/>
      <c r="B3" s="228"/>
      <c r="C3" s="228"/>
      <c r="D3" s="228"/>
      <c r="E3" s="228"/>
      <c r="F3" s="228"/>
      <c r="G3" s="228"/>
      <c r="H3" s="415"/>
    </row>
    <row r="4" spans="1:8" ht="12.75">
      <c r="A4" s="404"/>
      <c r="B4" s="379"/>
      <c r="C4" s="229"/>
      <c r="D4" s="229"/>
      <c r="E4" s="416">
        <f>C22</f>
        <v>19.65</v>
      </c>
      <c r="F4" s="286"/>
      <c r="G4" s="286"/>
      <c r="H4" s="287"/>
    </row>
    <row r="5" spans="1:8" ht="12.75">
      <c r="A5" s="402"/>
      <c r="B5" s="379"/>
      <c r="C5" s="229"/>
      <c r="D5" s="229"/>
      <c r="E5" s="229"/>
      <c r="F5" s="286"/>
      <c r="G5" s="286"/>
      <c r="H5" s="287"/>
    </row>
    <row r="6" spans="1:8" ht="12.75">
      <c r="A6" s="403" t="s">
        <v>354</v>
      </c>
      <c r="B6" s="379"/>
      <c r="C6" s="286"/>
      <c r="D6" s="286"/>
      <c r="E6" s="286"/>
      <c r="F6" s="286"/>
      <c r="G6" s="286"/>
      <c r="H6" s="287"/>
    </row>
    <row r="7" spans="1:8" ht="12.75">
      <c r="A7" s="288" t="s">
        <v>360</v>
      </c>
      <c r="B7" s="223" t="s">
        <v>361</v>
      </c>
      <c r="C7" s="64">
        <v>12600</v>
      </c>
      <c r="D7" s="381"/>
      <c r="E7" s="381"/>
      <c r="F7" s="286"/>
      <c r="G7" s="286"/>
      <c r="H7" s="287"/>
    </row>
    <row r="8" spans="1:8" ht="12.75">
      <c r="A8" s="404" t="s">
        <v>355</v>
      </c>
      <c r="B8" s="223" t="s">
        <v>356</v>
      </c>
      <c r="C8" s="64">
        <v>5000</v>
      </c>
      <c r="D8" s="381"/>
      <c r="E8" s="381"/>
      <c r="F8" s="286"/>
      <c r="G8" s="286"/>
      <c r="H8" s="287"/>
    </row>
    <row r="9" spans="1:8" ht="12.75">
      <c r="A9" s="228"/>
      <c r="B9" s="223"/>
      <c r="C9" s="381"/>
      <c r="D9" s="381"/>
      <c r="E9" s="381"/>
      <c r="F9" s="286"/>
      <c r="G9" s="286"/>
      <c r="H9" s="287"/>
    </row>
    <row r="10" spans="1:8" ht="12.75">
      <c r="A10" s="404"/>
      <c r="B10" s="223"/>
      <c r="C10" s="286"/>
      <c r="D10" s="286"/>
      <c r="E10" s="286"/>
      <c r="F10" s="286"/>
      <c r="G10" s="286"/>
      <c r="H10" s="287"/>
    </row>
    <row r="11" spans="1:8" ht="6.75" customHeight="1">
      <c r="A11" s="404"/>
      <c r="B11" s="223"/>
      <c r="C11" s="362"/>
      <c r="D11" s="362"/>
      <c r="E11" s="362"/>
      <c r="F11" s="286"/>
      <c r="G11" s="286"/>
      <c r="H11" s="287"/>
    </row>
    <row r="12" spans="1:8" ht="12.75">
      <c r="A12" s="404" t="s">
        <v>359</v>
      </c>
      <c r="B12" s="223" t="s">
        <v>353</v>
      </c>
      <c r="C12" s="370">
        <f>((C7^2)/(8*C8))+(C8/2)</f>
        <v>6469</v>
      </c>
      <c r="D12" s="382"/>
      <c r="E12" s="382"/>
      <c r="F12" s="1412">
        <f>C8/1000</f>
        <v>5</v>
      </c>
      <c r="G12" s="286"/>
      <c r="H12" s="287"/>
    </row>
    <row r="13" spans="1:8" ht="12.75">
      <c r="A13" s="404"/>
      <c r="B13" s="437" t="s">
        <v>362</v>
      </c>
      <c r="C13" s="369">
        <f>DEGREES(ASIN((C7/2)/C12))</f>
        <v>76.87460298212507</v>
      </c>
      <c r="D13" s="369"/>
      <c r="E13" s="369"/>
      <c r="F13" s="1412"/>
      <c r="G13" s="286"/>
      <c r="H13" s="287"/>
    </row>
    <row r="14" spans="1:8" ht="12.75">
      <c r="A14" s="404"/>
      <c r="B14" s="437" t="s">
        <v>363</v>
      </c>
      <c r="C14" s="380">
        <f>C13</f>
        <v>76.87460298212507</v>
      </c>
      <c r="D14" s="380"/>
      <c r="E14" s="380"/>
      <c r="F14" s="1412"/>
      <c r="G14" s="286"/>
      <c r="H14" s="287"/>
    </row>
    <row r="15" spans="1:8" ht="14.25" customHeight="1">
      <c r="A15" s="404"/>
      <c r="B15" s="379"/>
      <c r="C15" s="363"/>
      <c r="D15" s="363"/>
      <c r="E15" s="363"/>
      <c r="F15" s="1412"/>
      <c r="G15" s="286"/>
      <c r="H15" s="287"/>
    </row>
    <row r="16" spans="1:8" ht="12.75">
      <c r="A16" s="404"/>
      <c r="B16" s="379"/>
      <c r="C16" s="363"/>
      <c r="D16" s="363"/>
      <c r="E16" s="363"/>
      <c r="F16" s="286"/>
      <c r="G16" s="286"/>
      <c r="H16" s="287"/>
    </row>
    <row r="17" spans="1:8" ht="12.75">
      <c r="A17" s="402" t="s">
        <v>88</v>
      </c>
      <c r="B17" s="223"/>
      <c r="C17" s="286"/>
      <c r="D17" s="286"/>
      <c r="E17" s="286"/>
      <c r="F17" s="390">
        <f>C7/1000</f>
        <v>12.6</v>
      </c>
      <c r="G17" s="286"/>
      <c r="H17" s="287"/>
    </row>
    <row r="18" spans="1:8" ht="12.75">
      <c r="A18" s="404" t="s">
        <v>364</v>
      </c>
      <c r="B18" s="223" t="s">
        <v>365</v>
      </c>
      <c r="C18" s="420">
        <v>3</v>
      </c>
      <c r="D18" s="371"/>
      <c r="E18" s="371"/>
      <c r="F18" s="286"/>
      <c r="G18" s="286"/>
      <c r="H18" s="287"/>
    </row>
    <row r="19" spans="1:8" ht="15.75" customHeight="1">
      <c r="A19" s="404" t="s">
        <v>92</v>
      </c>
      <c r="B19" s="223" t="s">
        <v>367</v>
      </c>
      <c r="C19" s="420">
        <v>0.1</v>
      </c>
      <c r="D19" s="372"/>
      <c r="E19" s="372"/>
      <c r="F19" s="432">
        <f>C13</f>
        <v>76.87460298212507</v>
      </c>
      <c r="G19" s="433">
        <f>C12/1000</f>
        <v>6.469</v>
      </c>
      <c r="H19" s="287"/>
    </row>
    <row r="20" spans="1:8" ht="12.75" customHeight="1">
      <c r="A20" s="435" t="s">
        <v>425</v>
      </c>
      <c r="B20" s="398" t="s">
        <v>426</v>
      </c>
      <c r="C20" s="420">
        <v>10</v>
      </c>
      <c r="D20" s="372"/>
      <c r="E20" s="372"/>
      <c r="F20" s="286"/>
      <c r="G20" s="389">
        <f>C12</f>
        <v>6469</v>
      </c>
      <c r="H20" s="287"/>
    </row>
    <row r="21" spans="1:8" ht="12.75">
      <c r="A21" s="404" t="s">
        <v>95</v>
      </c>
      <c r="B21" s="223" t="s">
        <v>370</v>
      </c>
      <c r="C21" s="434">
        <f>SUM(C18:C20)</f>
        <v>13.1</v>
      </c>
      <c r="D21" s="371"/>
      <c r="E21" s="371"/>
      <c r="F21" s="286"/>
      <c r="G21" s="389"/>
      <c r="H21" s="287"/>
    </row>
    <row r="22" spans="1:8" ht="12.75">
      <c r="A22" s="405" t="s">
        <v>96</v>
      </c>
      <c r="B22" s="223" t="s">
        <v>369</v>
      </c>
      <c r="C22" s="434">
        <f>1.5*C21</f>
        <v>19.65</v>
      </c>
      <c r="D22" s="371"/>
      <c r="E22" s="371"/>
      <c r="F22" s="286"/>
      <c r="G22" s="389"/>
      <c r="H22" s="287"/>
    </row>
    <row r="23" spans="1:8" ht="12.75">
      <c r="A23" s="405"/>
      <c r="B23" s="379"/>
      <c r="C23" s="371"/>
      <c r="D23" s="371"/>
      <c r="E23" s="371"/>
      <c r="F23" s="286"/>
      <c r="G23" s="389"/>
      <c r="H23" s="287"/>
    </row>
    <row r="24" spans="1:8" ht="12.75">
      <c r="A24" s="405"/>
      <c r="B24" s="379"/>
      <c r="C24" s="371"/>
      <c r="D24" s="371"/>
      <c r="E24" s="371"/>
      <c r="F24" s="286"/>
      <c r="G24" s="389"/>
      <c r="H24" s="287"/>
    </row>
    <row r="25" spans="1:8" ht="12.75">
      <c r="A25" s="405"/>
      <c r="B25" s="379"/>
      <c r="C25" s="371"/>
      <c r="D25" s="371"/>
      <c r="E25" s="371"/>
      <c r="F25" s="286"/>
      <c r="G25" s="389"/>
      <c r="H25" s="287"/>
    </row>
    <row r="26" spans="1:8" ht="12.75">
      <c r="A26" s="405"/>
      <c r="B26" s="379"/>
      <c r="C26" s="371"/>
      <c r="D26" s="371"/>
      <c r="E26" s="371"/>
      <c r="F26" s="286"/>
      <c r="G26" s="389"/>
      <c r="H26" s="287"/>
    </row>
    <row r="27" spans="1:8" ht="12.75">
      <c r="A27" s="409" t="s">
        <v>418</v>
      </c>
      <c r="B27" s="398" t="s">
        <v>419</v>
      </c>
      <c r="C27" s="410">
        <f>C22*(C7/1000)/2</f>
        <v>123.79499999999999</v>
      </c>
      <c r="D27" s="371"/>
      <c r="E27" s="371"/>
      <c r="F27" s="286"/>
      <c r="G27" s="389"/>
      <c r="H27" s="287"/>
    </row>
    <row r="28" spans="1:8" ht="12.75">
      <c r="A28" s="409" t="s">
        <v>420</v>
      </c>
      <c r="B28" s="398" t="s">
        <v>421</v>
      </c>
      <c r="C28" s="410">
        <f>((C27*(C7/1000))-(C22*(C7/(2*1000))*(C7/(4*1000))))/(C8/1000)</f>
        <v>233.97254999999996</v>
      </c>
      <c r="D28" s="371"/>
      <c r="E28" s="371"/>
      <c r="F28" s="286"/>
      <c r="G28" s="389"/>
      <c r="H28" s="287"/>
    </row>
    <row r="29" spans="1:8" ht="12.75">
      <c r="A29" s="405"/>
      <c r="B29" s="379"/>
      <c r="C29" s="371"/>
      <c r="D29" s="371"/>
      <c r="E29" s="371"/>
      <c r="F29" s="286"/>
      <c r="G29" s="389"/>
      <c r="H29" s="287"/>
    </row>
    <row r="30" spans="1:12" s="430" customFormat="1" ht="12.75">
      <c r="A30" s="405"/>
      <c r="B30" s="198" t="s">
        <v>372</v>
      </c>
      <c r="C30" s="428" t="s">
        <v>135</v>
      </c>
      <c r="D30" s="428" t="s">
        <v>136</v>
      </c>
      <c r="E30" s="428" t="s">
        <v>1</v>
      </c>
      <c r="F30" s="428" t="s">
        <v>422</v>
      </c>
      <c r="G30" s="428" t="s">
        <v>423</v>
      </c>
      <c r="H30" s="429"/>
      <c r="J30" s="431">
        <f>ABS(E31)</f>
        <v>0</v>
      </c>
      <c r="K30" s="431">
        <f aca="true" t="shared" si="0" ref="K30:L39">ABS(F31)</f>
        <v>67.42971464677697</v>
      </c>
      <c r="L30" s="431">
        <f t="shared" si="0"/>
        <v>173.69209707064456</v>
      </c>
    </row>
    <row r="31" spans="1:12" ht="12.75">
      <c r="A31" s="405"/>
      <c r="B31" s="375">
        <f>C13</f>
        <v>76.87460298212507</v>
      </c>
      <c r="C31" s="231">
        <f>($C$7/(2*1000))-(($C$12/1000)*(SIN(RADIANS(B31))))</f>
        <v>0</v>
      </c>
      <c r="D31" s="231">
        <f>($C$8/1000)-(($C$12/1000)*(1-(COS(RADIANS(B31)))))</f>
        <v>0</v>
      </c>
      <c r="E31" s="236">
        <f>($C$27*C31)-($C$28*D31)-($C$22*C31*C31/2)</f>
        <v>0</v>
      </c>
      <c r="F31" s="236">
        <f>($C$27*SIN(RADIANS(B31)))-($C$28*COS(RADIANS(B31)))</f>
        <v>67.42971464677697</v>
      </c>
      <c r="G31" s="236">
        <f>($C$27*SIN(RADIANS(B31)))+($C$28*COS(RADIANS(B31)))</f>
        <v>173.69209707064456</v>
      </c>
      <c r="H31" s="287"/>
      <c r="J31" s="413">
        <f aca="true" t="shared" si="1" ref="J31:J39">ABS(E32)</f>
        <v>41.69438151138081</v>
      </c>
      <c r="K31" s="413">
        <f t="shared" si="0"/>
        <v>59.02023569425342</v>
      </c>
      <c r="L31" s="413">
        <f t="shared" si="0"/>
        <v>180.13333963665698</v>
      </c>
    </row>
    <row r="32" spans="1:12" ht="12.75">
      <c r="A32" s="405"/>
      <c r="B32" s="375">
        <v>75</v>
      </c>
      <c r="C32" s="231">
        <f aca="true" t="shared" si="2" ref="C32:C40">($C$7/(2*1000))-(($C$12/1000)*(SIN(RADIANS(B32))))</f>
        <v>0.05142582973601684</v>
      </c>
      <c r="D32" s="231">
        <f aca="true" t="shared" si="3" ref="D32:D40">($C$8/1000)-(($C$12/1000)*(1-(COS(RADIANS(B32)))))</f>
        <v>0.2053004027682066</v>
      </c>
      <c r="E32" s="236">
        <f aca="true" t="shared" si="4" ref="E32:E40">($C$27*C32)-($C$28*D32)-($C$22*C32*C32/2)</f>
        <v>-41.69438151138081</v>
      </c>
      <c r="F32" s="236">
        <f aca="true" t="shared" si="5" ref="F32:F40">($C$27*SIN(RADIANS(B32)))-($C$28*COS(RADIANS(B32)))</f>
        <v>59.02023569425342</v>
      </c>
      <c r="G32" s="236">
        <f aca="true" t="shared" si="6" ref="G32:G40">($C$27*SIN(RADIANS(B32)))+($C$28*COS(RADIANS(B32)))</f>
        <v>180.13333963665698</v>
      </c>
      <c r="H32" s="287"/>
      <c r="J32" s="413">
        <f t="shared" si="1"/>
        <v>331.4914496437502</v>
      </c>
      <c r="K32" s="413">
        <f t="shared" si="0"/>
        <v>9.776660138505434</v>
      </c>
      <c r="L32" s="413">
        <f t="shared" si="0"/>
        <v>224.19588986149458</v>
      </c>
    </row>
    <row r="33" spans="1:12" ht="12.75">
      <c r="A33" s="405"/>
      <c r="B33" s="375">
        <v>60</v>
      </c>
      <c r="C33" s="231">
        <f t="shared" si="2"/>
        <v>0.6976816629184661</v>
      </c>
      <c r="D33" s="231">
        <f t="shared" si="3"/>
        <v>1.7655000000000007</v>
      </c>
      <c r="E33" s="236">
        <f t="shared" si="4"/>
        <v>-331.4914496437502</v>
      </c>
      <c r="F33" s="236">
        <f t="shared" si="5"/>
        <v>-9.776660138505434</v>
      </c>
      <c r="G33" s="236">
        <f t="shared" si="6"/>
        <v>224.19588986149458</v>
      </c>
      <c r="H33" s="287"/>
      <c r="J33" s="413">
        <f t="shared" si="1"/>
        <v>480.51947696996353</v>
      </c>
      <c r="K33" s="413">
        <f t="shared" si="0"/>
        <v>55.5621843108504</v>
      </c>
      <c r="L33" s="413">
        <f t="shared" si="0"/>
        <v>245.22712798267816</v>
      </c>
    </row>
    <row r="34" spans="1:12" ht="12.75">
      <c r="A34" s="405"/>
      <c r="B34" s="375">
        <v>50</v>
      </c>
      <c r="C34" s="231">
        <f t="shared" si="2"/>
        <v>1.3444584974633305</v>
      </c>
      <c r="D34" s="231">
        <f t="shared" si="3"/>
        <v>2.689193047062223</v>
      </c>
      <c r="E34" s="236">
        <f t="shared" si="4"/>
        <v>-480.51947696996353</v>
      </c>
      <c r="F34" s="236">
        <f t="shared" si="5"/>
        <v>-55.5621843108504</v>
      </c>
      <c r="G34" s="236">
        <f t="shared" si="6"/>
        <v>245.22712798267816</v>
      </c>
      <c r="H34" s="287"/>
      <c r="J34" s="413">
        <f t="shared" si="1"/>
        <v>595.6806005477904</v>
      </c>
      <c r="K34" s="413">
        <f t="shared" si="0"/>
        <v>99.65947962873209</v>
      </c>
      <c r="L34" s="413">
        <f t="shared" si="0"/>
        <v>258.80726391102235</v>
      </c>
    </row>
    <row r="35" spans="1:12" ht="12.75">
      <c r="A35" s="405"/>
      <c r="B35" s="375">
        <v>40</v>
      </c>
      <c r="C35" s="231">
        <f t="shared" si="2"/>
        <v>2.1418069529377775</v>
      </c>
      <c r="D35" s="231">
        <f t="shared" si="3"/>
        <v>3.4865415025366686</v>
      </c>
      <c r="E35" s="236">
        <f t="shared" si="4"/>
        <v>-595.6806005477904</v>
      </c>
      <c r="F35" s="236">
        <f t="shared" si="5"/>
        <v>-99.65947962873209</v>
      </c>
      <c r="G35" s="236">
        <f t="shared" si="6"/>
        <v>258.80726391102235</v>
      </c>
      <c r="H35" s="287"/>
      <c r="J35" s="413">
        <f t="shared" si="1"/>
        <v>679.917835494976</v>
      </c>
      <c r="K35" s="413">
        <f t="shared" si="0"/>
        <v>140.72867208822476</v>
      </c>
      <c r="L35" s="413">
        <f t="shared" si="0"/>
        <v>264.5236720882247</v>
      </c>
    </row>
    <row r="36" spans="1:12" ht="12.75">
      <c r="A36" s="405"/>
      <c r="B36" s="375">
        <v>30</v>
      </c>
      <c r="C36" s="231">
        <f t="shared" si="2"/>
        <v>3.0655</v>
      </c>
      <c r="D36" s="231">
        <f t="shared" si="3"/>
        <v>4.133318337081534</v>
      </c>
      <c r="E36" s="236">
        <f t="shared" si="4"/>
        <v>-679.917835494976</v>
      </c>
      <c r="F36" s="236">
        <f t="shared" si="5"/>
        <v>-140.72867208822476</v>
      </c>
      <c r="G36" s="236">
        <f t="shared" si="6"/>
        <v>264.5236720882247</v>
      </c>
      <c r="H36" s="287"/>
      <c r="J36" s="413">
        <f t="shared" si="1"/>
        <v>736.7252958059512</v>
      </c>
      <c r="K36" s="413">
        <f t="shared" si="0"/>
        <v>177.52189505846079</v>
      </c>
      <c r="L36" s="413">
        <f t="shared" si="0"/>
        <v>262.2026623444631</v>
      </c>
    </row>
    <row r="37" spans="1:12" ht="12.75">
      <c r="A37" s="405"/>
      <c r="B37" s="375">
        <v>20</v>
      </c>
      <c r="C37" s="231">
        <f t="shared" si="2"/>
        <v>4.087471692826249</v>
      </c>
      <c r="D37" s="231">
        <f t="shared" si="3"/>
        <v>4.609871563864042</v>
      </c>
      <c r="E37" s="236">
        <f t="shared" si="4"/>
        <v>-736.7252958059512</v>
      </c>
      <c r="F37" s="236">
        <f t="shared" si="5"/>
        <v>-177.52189505846079</v>
      </c>
      <c r="G37" s="236">
        <f t="shared" si="6"/>
        <v>262.2026623444631</v>
      </c>
      <c r="H37" s="287"/>
      <c r="J37" s="413">
        <f t="shared" si="1"/>
        <v>769.3118715821922</v>
      </c>
      <c r="K37" s="413">
        <f t="shared" si="0"/>
        <v>208.92120507775883</v>
      </c>
      <c r="L37" s="413">
        <f t="shared" si="0"/>
        <v>251.91475738631408</v>
      </c>
    </row>
    <row r="38" spans="1:12" ht="12.75">
      <c r="A38" s="405"/>
      <c r="B38" s="375">
        <v>10</v>
      </c>
      <c r="C38" s="231">
        <f t="shared" si="2"/>
        <v>5.176669938672627</v>
      </c>
      <c r="D38" s="231">
        <f t="shared" si="3"/>
        <v>4.901721354235974</v>
      </c>
      <c r="E38" s="236">
        <f t="shared" si="4"/>
        <v>-769.3118715821922</v>
      </c>
      <c r="F38" s="236">
        <f t="shared" si="5"/>
        <v>-208.92120507775883</v>
      </c>
      <c r="G38" s="236">
        <f t="shared" si="6"/>
        <v>251.91475738631408</v>
      </c>
      <c r="H38" s="287"/>
      <c r="J38" s="413">
        <f t="shared" si="1"/>
        <v>777.2721085787443</v>
      </c>
      <c r="K38" s="413">
        <f t="shared" si="0"/>
        <v>222.29276863555944</v>
      </c>
      <c r="L38" s="413">
        <f t="shared" si="0"/>
        <v>243.87165898245215</v>
      </c>
    </row>
    <row r="39" spans="1:12" ht="12.75">
      <c r="A39" s="405"/>
      <c r="B39" s="375">
        <v>5</v>
      </c>
      <c r="C39" s="231">
        <f t="shared" si="2"/>
        <v>5.736189500165399</v>
      </c>
      <c r="D39" s="231">
        <f t="shared" si="3"/>
        <v>4.975383501955502</v>
      </c>
      <c r="E39" s="236">
        <f t="shared" si="4"/>
        <v>-777.2721085787443</v>
      </c>
      <c r="F39" s="236">
        <f t="shared" si="5"/>
        <v>-222.29276863555944</v>
      </c>
      <c r="G39" s="236">
        <f t="shared" si="6"/>
        <v>243.87165898245215</v>
      </c>
      <c r="H39" s="287"/>
      <c r="J39" s="413">
        <f t="shared" si="1"/>
        <v>779.9084999999998</v>
      </c>
      <c r="K39" s="413">
        <f t="shared" si="0"/>
        <v>233.97254999999996</v>
      </c>
      <c r="L39" s="413">
        <f t="shared" si="0"/>
        <v>233.97254999999996</v>
      </c>
    </row>
    <row r="40" spans="1:8" ht="12.75">
      <c r="A40" s="405"/>
      <c r="B40" s="375">
        <v>0</v>
      </c>
      <c r="C40" s="231">
        <f t="shared" si="2"/>
        <v>6.3</v>
      </c>
      <c r="D40" s="231">
        <f t="shared" si="3"/>
        <v>5</v>
      </c>
      <c r="E40" s="236">
        <f t="shared" si="4"/>
        <v>-779.9084999999998</v>
      </c>
      <c r="F40" s="236">
        <f t="shared" si="5"/>
        <v>-233.97254999999996</v>
      </c>
      <c r="G40" s="236">
        <f t="shared" si="6"/>
        <v>233.97254999999996</v>
      </c>
      <c r="H40" s="287"/>
    </row>
    <row r="41" spans="1:8" ht="12.75">
      <c r="A41" s="405"/>
      <c r="B41" s="375"/>
      <c r="C41" s="231"/>
      <c r="D41" s="231"/>
      <c r="E41" s="236"/>
      <c r="F41" s="236"/>
      <c r="G41" s="236"/>
      <c r="H41" s="287"/>
    </row>
    <row r="42" spans="1:8" ht="12.75">
      <c r="A42" s="405"/>
      <c r="B42" s="411"/>
      <c r="C42" s="1414" t="s">
        <v>424</v>
      </c>
      <c r="D42" s="1414"/>
      <c r="E42" s="421">
        <f>MAX(J30:J39)</f>
        <v>779.9084999999998</v>
      </c>
      <c r="F42" s="422">
        <f>MAX(K30:K39)</f>
        <v>233.97254999999996</v>
      </c>
      <c r="G42" s="422">
        <f>MAX(L30:L39)</f>
        <v>264.5236720882247</v>
      </c>
      <c r="H42" s="287"/>
    </row>
    <row r="43" spans="1:8" ht="12.75">
      <c r="A43" s="405"/>
      <c r="B43" s="411"/>
      <c r="C43" s="412"/>
      <c r="D43" s="412"/>
      <c r="E43" s="316"/>
      <c r="F43" s="286"/>
      <c r="G43" s="389"/>
      <c r="H43" s="287"/>
    </row>
    <row r="44" spans="1:8" ht="12.75">
      <c r="A44" s="405"/>
      <c r="B44" s="411"/>
      <c r="C44" s="412"/>
      <c r="D44" s="412"/>
      <c r="E44" s="316"/>
      <c r="F44" s="286"/>
      <c r="G44" s="389"/>
      <c r="H44" s="287"/>
    </row>
    <row r="45" spans="1:8" ht="12.75">
      <c r="A45" s="405"/>
      <c r="B45" s="411"/>
      <c r="C45" s="412"/>
      <c r="D45" s="412"/>
      <c r="E45" s="316"/>
      <c r="F45" s="286"/>
      <c r="G45" s="389"/>
      <c r="H45" s="287"/>
    </row>
    <row r="46" spans="1:8" ht="12.75">
      <c r="A46" s="405"/>
      <c r="B46" s="411"/>
      <c r="C46" s="412"/>
      <c r="D46" s="412"/>
      <c r="E46" s="316"/>
      <c r="F46" s="286"/>
      <c r="G46" s="389"/>
      <c r="H46" s="287"/>
    </row>
    <row r="47" spans="1:8" ht="12.75">
      <c r="A47" s="423"/>
      <c r="B47" s="424"/>
      <c r="C47" s="425"/>
      <c r="D47" s="425"/>
      <c r="E47" s="426"/>
      <c r="F47" s="299"/>
      <c r="G47" s="427"/>
      <c r="H47" s="300"/>
    </row>
  </sheetData>
  <sheetProtection/>
  <mergeCells count="3">
    <mergeCell ref="F12:F15"/>
    <mergeCell ref="C42:D42"/>
    <mergeCell ref="A2:H2"/>
  </mergeCells>
  <printOptions/>
  <pageMargins left="0.7" right="0.7" top="0.75" bottom="0.75" header="0.3" footer="0.3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14.57421875" style="0" customWidth="1"/>
    <col min="2" max="2" width="18.421875" style="368" customWidth="1"/>
    <col min="3" max="3" width="11.421875" style="0" customWidth="1"/>
    <col min="4" max="4" width="13.57421875" style="0" customWidth="1"/>
    <col min="5" max="5" width="10.7109375" style="0" customWidth="1"/>
    <col min="6" max="6" width="6.140625" style="0" bestFit="1" customWidth="1"/>
    <col min="7" max="7" width="6.00390625" style="0" bestFit="1" customWidth="1"/>
    <col min="8" max="8" width="6.7109375" style="0" customWidth="1"/>
    <col min="10" max="10" width="10.00390625" style="0" bestFit="1" customWidth="1"/>
    <col min="16" max="16" width="7.421875" style="0" bestFit="1" customWidth="1"/>
    <col min="17" max="17" width="8.00390625" style="0" customWidth="1"/>
    <col min="18" max="18" width="9.00390625" style="0" customWidth="1"/>
    <col min="19" max="19" width="9.8515625" style="0" customWidth="1"/>
  </cols>
  <sheetData>
    <row r="1" spans="1:8" ht="14.25">
      <c r="A1" s="467"/>
      <c r="B1" s="466"/>
      <c r="C1" s="468"/>
      <c r="D1" s="468"/>
      <c r="E1" s="228"/>
      <c r="F1" s="464"/>
      <c r="G1" s="464"/>
      <c r="H1" s="465"/>
    </row>
    <row r="2" spans="1:8" ht="15.75">
      <c r="A2" s="1415" t="s">
        <v>963</v>
      </c>
      <c r="B2" s="1416"/>
      <c r="C2" s="1416"/>
      <c r="D2" s="1416"/>
      <c r="E2" s="1416"/>
      <c r="F2" s="1416"/>
      <c r="G2" s="1416"/>
      <c r="H2" s="1417"/>
    </row>
    <row r="3" spans="1:15" ht="12.75">
      <c r="A3" s="402"/>
      <c r="B3" s="379"/>
      <c r="C3" s="229"/>
      <c r="D3" s="229"/>
      <c r="E3" s="440"/>
      <c r="F3" s="286"/>
      <c r="G3" s="286"/>
      <c r="H3" s="287"/>
      <c r="J3" s="1420" t="s">
        <v>431</v>
      </c>
      <c r="K3" s="477" t="s">
        <v>434</v>
      </c>
      <c r="L3" s="1422" t="s">
        <v>462</v>
      </c>
      <c r="M3" s="1423"/>
      <c r="N3" s="1423"/>
      <c r="O3" s="1424"/>
    </row>
    <row r="4" spans="1:15" ht="12.75">
      <c r="A4" s="403" t="s">
        <v>429</v>
      </c>
      <c r="B4" s="379"/>
      <c r="C4" s="286"/>
      <c r="D4" s="286"/>
      <c r="E4" s="286"/>
      <c r="F4" s="286"/>
      <c r="G4" s="286"/>
      <c r="H4" s="287"/>
      <c r="J4" s="1421"/>
      <c r="K4" s="477" t="s">
        <v>463</v>
      </c>
      <c r="L4" s="480" t="s">
        <v>437</v>
      </c>
      <c r="M4" s="480" t="s">
        <v>436</v>
      </c>
      <c r="N4" s="480" t="s">
        <v>438</v>
      </c>
      <c r="O4" s="481" t="s">
        <v>435</v>
      </c>
    </row>
    <row r="5" spans="1:15" ht="12.75">
      <c r="A5" s="408" t="s">
        <v>430</v>
      </c>
      <c r="B5" s="398" t="s">
        <v>353</v>
      </c>
      <c r="C5" s="459">
        <v>6.3</v>
      </c>
      <c r="D5" s="381"/>
      <c r="E5" s="390"/>
      <c r="F5" s="286"/>
      <c r="G5" s="286"/>
      <c r="H5" s="287"/>
      <c r="J5" s="478">
        <v>4</v>
      </c>
      <c r="K5" s="444">
        <f>360/(J5)</f>
        <v>90</v>
      </c>
      <c r="L5" s="478">
        <v>0.137</v>
      </c>
      <c r="M5" s="478">
        <v>0.07</v>
      </c>
      <c r="N5" s="478">
        <v>0.021</v>
      </c>
      <c r="O5" s="444">
        <v>19.25</v>
      </c>
    </row>
    <row r="6" spans="1:15" ht="12.75">
      <c r="A6" s="435" t="s">
        <v>431</v>
      </c>
      <c r="B6" s="398" t="s">
        <v>432</v>
      </c>
      <c r="C6" s="460">
        <v>8</v>
      </c>
      <c r="D6" s="381"/>
      <c r="E6" s="286"/>
      <c r="F6" s="389"/>
      <c r="G6" s="389"/>
      <c r="H6" s="287"/>
      <c r="J6" s="478">
        <v>5</v>
      </c>
      <c r="K6" s="444">
        <f aca="true" t="shared" si="0" ref="K6:K12">360/(J6)</f>
        <v>72</v>
      </c>
      <c r="L6" s="478">
        <v>0.108</v>
      </c>
      <c r="M6" s="478">
        <v>0.054</v>
      </c>
      <c r="N6" s="478">
        <v>0.014</v>
      </c>
      <c r="O6" s="444">
        <v>15.24</v>
      </c>
    </row>
    <row r="7" spans="1:15" ht="12.75">
      <c r="A7" s="404"/>
      <c r="B7" s="223"/>
      <c r="C7" s="381"/>
      <c r="D7" s="381"/>
      <c r="E7" s="286"/>
      <c r="F7" s="389"/>
      <c r="G7" s="389"/>
      <c r="H7" s="287"/>
      <c r="J7" s="478">
        <v>6</v>
      </c>
      <c r="K7" s="444">
        <f t="shared" si="0"/>
        <v>60</v>
      </c>
      <c r="L7" s="478">
        <v>0.089</v>
      </c>
      <c r="M7" s="478">
        <v>0.045</v>
      </c>
      <c r="N7" s="478">
        <v>0.009</v>
      </c>
      <c r="O7" s="444">
        <v>12.75</v>
      </c>
    </row>
    <row r="8" spans="1:15" ht="12.75">
      <c r="A8" s="404"/>
      <c r="B8" s="223"/>
      <c r="C8" s="286"/>
      <c r="D8" s="286"/>
      <c r="E8" s="286"/>
      <c r="F8" s="389"/>
      <c r="G8" s="389"/>
      <c r="H8" s="287"/>
      <c r="J8" s="478">
        <v>7</v>
      </c>
      <c r="K8" s="444">
        <f t="shared" si="0"/>
        <v>51.42857142857143</v>
      </c>
      <c r="L8" s="478">
        <v>0.077</v>
      </c>
      <c r="M8" s="478">
        <v>0.037</v>
      </c>
      <c r="N8" s="478">
        <v>0.007</v>
      </c>
      <c r="O8" s="444">
        <v>10.75</v>
      </c>
    </row>
    <row r="9" spans="1:15" ht="12.75">
      <c r="A9" s="404"/>
      <c r="B9" s="223"/>
      <c r="C9" s="362"/>
      <c r="D9" s="362"/>
      <c r="E9" s="286"/>
      <c r="F9" s="389"/>
      <c r="G9" s="389"/>
      <c r="H9" s="287"/>
      <c r="J9" s="478">
        <v>8</v>
      </c>
      <c r="K9" s="444">
        <f t="shared" si="0"/>
        <v>45</v>
      </c>
      <c r="L9" s="478">
        <v>0.066</v>
      </c>
      <c r="M9" s="478">
        <v>0.03</v>
      </c>
      <c r="N9" s="478">
        <v>0.005</v>
      </c>
      <c r="O9" s="444">
        <v>9.5</v>
      </c>
    </row>
    <row r="10" spans="1:15" ht="12.75" customHeight="1">
      <c r="A10" s="402" t="s">
        <v>449</v>
      </c>
      <c r="B10" s="437" t="s">
        <v>363</v>
      </c>
      <c r="C10" s="438">
        <f>360/(2*C6)</f>
        <v>22.5</v>
      </c>
      <c r="D10" s="439">
        <f>RADIANS(C10)</f>
        <v>0.39269908169872414</v>
      </c>
      <c r="E10" s="441"/>
      <c r="F10" s="442"/>
      <c r="G10" s="441"/>
      <c r="H10" s="443"/>
      <c r="J10" s="478">
        <v>9</v>
      </c>
      <c r="K10" s="444">
        <f t="shared" si="0"/>
        <v>40</v>
      </c>
      <c r="L10" s="478">
        <v>0.06</v>
      </c>
      <c r="M10" s="478">
        <v>0.027</v>
      </c>
      <c r="N10" s="478">
        <v>0.04</v>
      </c>
      <c r="O10" s="444">
        <v>8.5</v>
      </c>
    </row>
    <row r="11" spans="1:15" ht="15.75">
      <c r="A11" s="404"/>
      <c r="B11" s="437" t="s">
        <v>433</v>
      </c>
      <c r="C11" s="445">
        <f>VLOOKUP(C6,J5:O12,6)</f>
        <v>9.5</v>
      </c>
      <c r="D11" s="439">
        <f>RADIANS(C11)</f>
        <v>0.16580627893946132</v>
      </c>
      <c r="E11" s="440"/>
      <c r="F11" s="286"/>
      <c r="G11" s="286"/>
      <c r="H11" s="287"/>
      <c r="J11" s="478">
        <v>10</v>
      </c>
      <c r="K11" s="444">
        <f t="shared" si="0"/>
        <v>36</v>
      </c>
      <c r="L11" s="478">
        <v>0.054</v>
      </c>
      <c r="M11" s="478">
        <v>0.023</v>
      </c>
      <c r="N11" s="478">
        <v>0.003</v>
      </c>
      <c r="O11" s="444">
        <v>7.25</v>
      </c>
    </row>
    <row r="12" spans="1:15" ht="12.75">
      <c r="A12" s="404"/>
      <c r="B12" s="455"/>
      <c r="C12" s="380"/>
      <c r="D12" s="380"/>
      <c r="E12" s="286"/>
      <c r="F12" s="286"/>
      <c r="G12" s="286"/>
      <c r="H12" s="287"/>
      <c r="J12" s="478">
        <v>12</v>
      </c>
      <c r="K12" s="444">
        <f t="shared" si="0"/>
        <v>30</v>
      </c>
      <c r="L12" s="478">
        <v>0.045</v>
      </c>
      <c r="M12" s="478">
        <v>0.017</v>
      </c>
      <c r="N12" s="478">
        <v>0.002</v>
      </c>
      <c r="O12" s="444">
        <v>6.25</v>
      </c>
    </row>
    <row r="13" spans="1:8" ht="12.75">
      <c r="A13" s="404"/>
      <c r="B13" s="446" t="s">
        <v>441</v>
      </c>
      <c r="C13" s="447">
        <f>VLOOKUP(C6,J5:O12,3)</f>
        <v>0.066</v>
      </c>
      <c r="D13" s="380"/>
      <c r="E13" s="390"/>
      <c r="F13" s="286"/>
      <c r="G13" s="286"/>
      <c r="H13" s="287"/>
    </row>
    <row r="14" spans="1:8" ht="12.75">
      <c r="A14" s="404"/>
      <c r="B14" s="456" t="s">
        <v>440</v>
      </c>
      <c r="C14" s="447">
        <f>VLOOKUP(C6,J5:O12,4)</f>
        <v>0.03</v>
      </c>
      <c r="D14" s="380"/>
      <c r="E14" s="441"/>
      <c r="F14" s="442"/>
      <c r="G14" s="441"/>
      <c r="H14" s="443"/>
    </row>
    <row r="15" spans="1:8" ht="14.25" customHeight="1">
      <c r="A15" s="404"/>
      <c r="B15" s="398" t="s">
        <v>439</v>
      </c>
      <c r="C15" s="447">
        <f>VLOOKUP(C6,J5:O12,5)</f>
        <v>0.005</v>
      </c>
      <c r="D15" s="363"/>
      <c r="E15" s="440"/>
      <c r="F15" s="286"/>
      <c r="G15" s="286"/>
      <c r="H15" s="287"/>
    </row>
    <row r="16" spans="1:8" ht="12.75">
      <c r="A16" s="404"/>
      <c r="B16" s="379"/>
      <c r="C16" s="363"/>
      <c r="D16" s="363"/>
      <c r="E16" s="286"/>
      <c r="F16" s="286"/>
      <c r="G16" s="286"/>
      <c r="H16" s="287"/>
    </row>
    <row r="17" spans="1:8" ht="12.75">
      <c r="A17" s="402" t="s">
        <v>88</v>
      </c>
      <c r="B17" s="223"/>
      <c r="C17" s="286"/>
      <c r="D17" s="286"/>
      <c r="E17" s="390"/>
      <c r="F17" s="286"/>
      <c r="G17" s="286"/>
      <c r="H17" s="287"/>
    </row>
    <row r="18" spans="1:8" ht="12.75">
      <c r="A18" s="409"/>
      <c r="B18" s="223" t="s">
        <v>369</v>
      </c>
      <c r="C18" s="458">
        <v>10</v>
      </c>
      <c r="D18" s="371"/>
      <c r="E18" s="286"/>
      <c r="F18" s="389"/>
      <c r="G18" s="389"/>
      <c r="H18" s="287"/>
    </row>
    <row r="19" spans="1:8" ht="12.75">
      <c r="A19" s="405"/>
      <c r="B19" s="379"/>
      <c r="C19" s="371"/>
      <c r="D19" s="371"/>
      <c r="E19" s="286"/>
      <c r="F19" s="389"/>
      <c r="G19" s="389"/>
      <c r="H19" s="287"/>
    </row>
    <row r="20" spans="1:8" ht="12.75">
      <c r="A20" s="405"/>
      <c r="B20" s="379"/>
      <c r="C20" s="371"/>
      <c r="D20" s="371"/>
      <c r="E20" s="286"/>
      <c r="F20" s="389"/>
      <c r="G20" s="389"/>
      <c r="H20" s="287"/>
    </row>
    <row r="21" spans="1:8" ht="17.25">
      <c r="A21" s="53"/>
      <c r="B21" s="1425" t="s">
        <v>442</v>
      </c>
      <c r="C21" s="452" t="s">
        <v>445</v>
      </c>
      <c r="D21" s="452" t="s">
        <v>446</v>
      </c>
      <c r="E21" s="452" t="s">
        <v>447</v>
      </c>
      <c r="F21" s="389"/>
      <c r="G21" s="389"/>
      <c r="H21" s="287"/>
    </row>
    <row r="22" spans="1:8" ht="30" customHeight="1">
      <c r="A22" s="53"/>
      <c r="B22" s="1425"/>
      <c r="C22" s="470" t="s">
        <v>460</v>
      </c>
      <c r="D22" s="470" t="s">
        <v>103</v>
      </c>
      <c r="E22" s="470" t="s">
        <v>448</v>
      </c>
      <c r="F22" s="389"/>
      <c r="G22" s="389"/>
      <c r="H22" s="287"/>
    </row>
    <row r="23" spans="1:8" ht="14.25">
      <c r="A23" s="53"/>
      <c r="B23" s="448" t="s">
        <v>443</v>
      </c>
      <c r="C23" s="449" t="s">
        <v>24</v>
      </c>
      <c r="D23" s="449" t="s">
        <v>444</v>
      </c>
      <c r="E23" s="449" t="s">
        <v>444</v>
      </c>
      <c r="F23" s="457"/>
      <c r="G23" s="453"/>
      <c r="H23" s="287"/>
    </row>
    <row r="24" spans="1:8" ht="14.25">
      <c r="A24" s="53"/>
      <c r="B24" s="450">
        <v>0</v>
      </c>
      <c r="C24" s="451">
        <f>$C$18*$C$5*($D$10-RADIANS(B24))</f>
        <v>24.740042147019622</v>
      </c>
      <c r="D24" s="451">
        <f>$C$18*$C$5*$C$5*(($D$10*(SIN(RADIANS(B24)))+(($D$10*(COS($D$10)/SIN($D$10))*COS(RADIANS(B24))))-1))</f>
        <v>-20.61520470439445</v>
      </c>
      <c r="E24" s="451">
        <f>$C$18*$C$5*$C$5*(($D$10*COS(RADIANS(B24)))-($D$10*(COS($D$10)/SIN($D$10))*SIN(RADIANS(B24)))-($D$10-(RADIANS(B24))))</f>
        <v>0</v>
      </c>
      <c r="F24" s="453"/>
      <c r="G24" s="453"/>
      <c r="H24" s="287"/>
    </row>
    <row r="25" spans="1:8" ht="14.25">
      <c r="A25" s="53"/>
      <c r="B25" s="450">
        <f>C11</f>
        <v>9.5</v>
      </c>
      <c r="C25" s="451">
        <f>$C$18*$C$5*($D$10-RADIANS(B25))</f>
        <v>14.294246573833558</v>
      </c>
      <c r="D25" s="451">
        <f>$C$18*$C$5*$C$5*(($D$10*(SIN(RADIANS(B25)))+(($D$10*(COS($D$10)/SIN($D$10))*COS(RADIANS(B25))))-1))</f>
        <v>-0.051030553435236214</v>
      </c>
      <c r="E25" s="451">
        <f>$C$18*$C$5*$C$5*(($D$10*COS(RADIANS(B25)))-($D$10*(COS($D$10)/SIN($D$10))*SIN(RADIANS(B25)))-($D$10-(RADIANS(B25))))</f>
        <v>1.566050311020854</v>
      </c>
      <c r="F25" s="453"/>
      <c r="G25" s="453"/>
      <c r="H25" s="287"/>
    </row>
    <row r="26" spans="1:8" ht="14.25">
      <c r="A26" s="53"/>
      <c r="B26" s="450">
        <f>C10</f>
        <v>22.5</v>
      </c>
      <c r="C26" s="451">
        <f>$C$18*$C$5*($D$10-RADIANS(B26))</f>
        <v>0</v>
      </c>
      <c r="D26" s="451">
        <f>$C$18*$C$5*$C$5*(($D$10*(SIN(RADIANS(B26)))+(($D$10*(COS($D$10)/SIN($D$10))*COS(RADIANS(B26))))-1))</f>
        <v>10.387727516583565</v>
      </c>
      <c r="E26" s="451">
        <f>$C$18*$C$5*$C$5*(($D$10*COS(RADIANS(B26)))-($D$10*(COS($D$10)/SIN($D$10))*SIN(RADIANS(B26)))-($D$10-(RADIANS(B26))))</f>
        <v>0</v>
      </c>
      <c r="F26" s="389"/>
      <c r="G26" s="389"/>
      <c r="H26" s="287"/>
    </row>
    <row r="27" spans="1:8" ht="12.75">
      <c r="A27" s="405"/>
      <c r="B27" s="235"/>
      <c r="C27" s="235"/>
      <c r="D27" s="235"/>
      <c r="E27" s="286"/>
      <c r="F27" s="389"/>
      <c r="G27" s="389"/>
      <c r="H27" s="287"/>
    </row>
    <row r="28" spans="1:12" ht="12.75">
      <c r="A28" s="405"/>
      <c r="B28" s="411"/>
      <c r="C28" s="412"/>
      <c r="D28" s="412"/>
      <c r="E28" s="316"/>
      <c r="F28" s="316"/>
      <c r="G28" s="316"/>
      <c r="H28" s="287"/>
      <c r="J28" s="413"/>
      <c r="K28" s="413"/>
      <c r="L28" s="413"/>
    </row>
    <row r="29" spans="1:12" ht="12.75">
      <c r="A29" s="402" t="s">
        <v>10</v>
      </c>
      <c r="B29" s="455"/>
      <c r="C29" s="4"/>
      <c r="D29" s="4"/>
      <c r="E29" s="461"/>
      <c r="F29" s="316"/>
      <c r="G29" s="316"/>
      <c r="H29" s="287"/>
      <c r="J29" s="413"/>
      <c r="K29" s="413"/>
      <c r="L29" s="413"/>
    </row>
    <row r="30" spans="1:12" ht="12.75">
      <c r="A30" s="405"/>
      <c r="B30" s="4" t="s">
        <v>11</v>
      </c>
      <c r="C30" s="64">
        <v>300</v>
      </c>
      <c r="D30" s="46"/>
      <c r="E30" s="4"/>
      <c r="F30" s="316"/>
      <c r="G30" s="316"/>
      <c r="H30" s="287"/>
      <c r="J30" s="413"/>
      <c r="K30" s="413"/>
      <c r="L30" s="413"/>
    </row>
    <row r="31" spans="1:12" ht="12.75">
      <c r="A31" s="405"/>
      <c r="B31" s="4" t="s">
        <v>12</v>
      </c>
      <c r="C31" s="64">
        <v>600</v>
      </c>
      <c r="D31" s="381"/>
      <c r="E31" s="74"/>
      <c r="F31" s="316"/>
      <c r="G31" s="316"/>
      <c r="H31" s="287"/>
      <c r="J31" s="413"/>
      <c r="K31" s="413"/>
      <c r="L31" s="413"/>
    </row>
    <row r="32" spans="1:12" ht="12.75">
      <c r="A32" s="405"/>
      <c r="B32" s="472"/>
      <c r="C32" s="4"/>
      <c r="D32" s="4"/>
      <c r="E32" s="4"/>
      <c r="F32" s="316"/>
      <c r="G32" s="316"/>
      <c r="H32" s="287"/>
      <c r="J32" s="413"/>
      <c r="K32" s="413"/>
      <c r="L32" s="413"/>
    </row>
    <row r="33" spans="1:12" ht="12.75">
      <c r="A33" s="469" t="s">
        <v>450</v>
      </c>
      <c r="B33" s="455"/>
      <c r="C33" s="412"/>
      <c r="D33" s="412"/>
      <c r="E33" s="316"/>
      <c r="F33" s="316"/>
      <c r="G33" s="316"/>
      <c r="H33" s="287"/>
      <c r="J33" s="413"/>
      <c r="K33" s="413"/>
      <c r="L33" s="413"/>
    </row>
    <row r="34" spans="1:12" ht="15.75" customHeight="1">
      <c r="A34" s="405"/>
      <c r="B34" s="462" t="s">
        <v>451</v>
      </c>
      <c r="C34" s="302">
        <f>(C24)+(1.6*(ABS(E25)/(C30/1000)))</f>
        <v>33.09231047246418</v>
      </c>
      <c r="D34" s="412"/>
      <c r="E34" s="454" t="s">
        <v>453</v>
      </c>
      <c r="F34" s="316"/>
      <c r="G34" s="316"/>
      <c r="H34" s="287"/>
      <c r="J34" s="413"/>
      <c r="K34" s="413"/>
      <c r="L34" s="413"/>
    </row>
    <row r="35" spans="1:12" ht="12.75">
      <c r="A35" s="405"/>
      <c r="B35" s="411"/>
      <c r="C35" s="412"/>
      <c r="D35" s="412"/>
      <c r="E35" s="316"/>
      <c r="F35" s="316"/>
      <c r="G35" s="316"/>
      <c r="H35" s="287"/>
      <c r="J35" s="413"/>
      <c r="K35" s="413"/>
      <c r="L35" s="413"/>
    </row>
    <row r="36" spans="1:12" ht="12.75">
      <c r="A36" s="405"/>
      <c r="B36" s="411"/>
      <c r="C36" s="412"/>
      <c r="D36" s="412"/>
      <c r="E36" s="316"/>
      <c r="F36" s="316"/>
      <c r="G36" s="316"/>
      <c r="H36" s="287"/>
      <c r="J36" s="413"/>
      <c r="K36" s="413"/>
      <c r="L36" s="413"/>
    </row>
    <row r="37" spans="1:12" ht="12.75">
      <c r="A37" s="469" t="s">
        <v>452</v>
      </c>
      <c r="B37" s="411"/>
      <c r="C37" s="412"/>
      <c r="D37" s="412"/>
      <c r="E37" s="316"/>
      <c r="F37" s="316"/>
      <c r="G37" s="316"/>
      <c r="H37" s="287"/>
      <c r="J37" s="413"/>
      <c r="K37" s="413"/>
      <c r="L37" s="413"/>
    </row>
    <row r="38" spans="1:12" ht="12.75">
      <c r="A38" s="405"/>
      <c r="B38" s="463" t="s">
        <v>454</v>
      </c>
      <c r="C38" s="322">
        <f>E25*((1+((ABS(C31)/C30)/1000))/1.7)</f>
        <v>0.9230484774369975</v>
      </c>
      <c r="D38" s="1418" t="s">
        <v>455</v>
      </c>
      <c r="E38" s="1419"/>
      <c r="F38" s="1419"/>
      <c r="G38" s="1419"/>
      <c r="H38" s="287"/>
      <c r="J38" s="413"/>
      <c r="K38" s="413"/>
      <c r="L38" s="413"/>
    </row>
    <row r="39" spans="1:12" ht="15.75">
      <c r="A39" s="405"/>
      <c r="B39" s="463" t="s">
        <v>456</v>
      </c>
      <c r="C39" s="322">
        <f>ABS(D24)+C38</f>
        <v>21.538253181831447</v>
      </c>
      <c r="D39" s="1418" t="s">
        <v>458</v>
      </c>
      <c r="E39" s="1419"/>
      <c r="F39" s="1419"/>
      <c r="G39" s="1419"/>
      <c r="H39" s="287"/>
      <c r="J39" s="413"/>
      <c r="K39" s="413"/>
      <c r="L39" s="413"/>
    </row>
    <row r="40" spans="1:12" ht="15.75">
      <c r="A40" s="405"/>
      <c r="B40" s="463" t="s">
        <v>457</v>
      </c>
      <c r="C40" s="322">
        <f>ABS(D24)-C38</f>
        <v>19.692156226957454</v>
      </c>
      <c r="D40" s="1418" t="s">
        <v>459</v>
      </c>
      <c r="E40" s="1419"/>
      <c r="F40" s="1419"/>
      <c r="G40" s="1419"/>
      <c r="H40" s="287"/>
      <c r="J40" s="413"/>
      <c r="K40" s="413"/>
      <c r="L40" s="413"/>
    </row>
    <row r="41" spans="1:12" ht="12.75">
      <c r="A41" s="405"/>
      <c r="B41" s="463"/>
      <c r="C41" s="323"/>
      <c r="D41" s="471"/>
      <c r="E41" s="471"/>
      <c r="F41" s="471"/>
      <c r="G41" s="471"/>
      <c r="H41" s="287"/>
      <c r="J41" s="413"/>
      <c r="K41" s="413"/>
      <c r="L41" s="413"/>
    </row>
    <row r="42" spans="1:12" ht="12.75">
      <c r="A42" s="405"/>
      <c r="B42" s="463"/>
      <c r="C42" s="323"/>
      <c r="D42" s="471"/>
      <c r="E42" s="471"/>
      <c r="F42" s="471"/>
      <c r="G42" s="471"/>
      <c r="H42" s="287"/>
      <c r="J42" s="413"/>
      <c r="K42" s="413"/>
      <c r="L42" s="413"/>
    </row>
    <row r="43" spans="1:12" ht="12.75">
      <c r="A43" s="405"/>
      <c r="B43" s="463"/>
      <c r="C43" s="323"/>
      <c r="D43" s="471"/>
      <c r="E43" s="471"/>
      <c r="F43" s="471"/>
      <c r="G43" s="471"/>
      <c r="H43" s="287"/>
      <c r="J43" s="413"/>
      <c r="K43" s="413"/>
      <c r="L43" s="413"/>
    </row>
    <row r="44" spans="1:12" ht="12.75">
      <c r="A44" s="405"/>
      <c r="B44" s="463"/>
      <c r="C44" s="323"/>
      <c r="D44" s="471"/>
      <c r="E44" s="471"/>
      <c r="F44" s="471"/>
      <c r="G44" s="471"/>
      <c r="H44" s="287"/>
      <c r="J44" s="413"/>
      <c r="K44" s="413"/>
      <c r="L44" s="413"/>
    </row>
    <row r="45" spans="1:12" ht="12.75">
      <c r="A45" s="405"/>
      <c r="B45" s="411"/>
      <c r="C45" s="412"/>
      <c r="D45" s="412"/>
      <c r="E45" s="316"/>
      <c r="F45" s="316"/>
      <c r="G45" s="316"/>
      <c r="H45" s="287"/>
      <c r="J45" s="413"/>
      <c r="K45" s="413"/>
      <c r="L45" s="413"/>
    </row>
    <row r="46" spans="1:12" ht="12.75">
      <c r="A46" s="423"/>
      <c r="B46" s="424"/>
      <c r="C46" s="425"/>
      <c r="D46" s="425"/>
      <c r="E46" s="426"/>
      <c r="F46" s="426"/>
      <c r="G46" s="426"/>
      <c r="H46" s="300"/>
      <c r="J46" s="413"/>
      <c r="K46" s="413"/>
      <c r="L46" s="413"/>
    </row>
  </sheetData>
  <sheetProtection/>
  <protectedRanges>
    <protectedRange sqref="C30 C31:D31" name="Inputs"/>
  </protectedRanges>
  <mergeCells count="7">
    <mergeCell ref="A2:H2"/>
    <mergeCell ref="D39:G39"/>
    <mergeCell ref="D40:G40"/>
    <mergeCell ref="J3:J4"/>
    <mergeCell ref="L3:O3"/>
    <mergeCell ref="B21:B22"/>
    <mergeCell ref="D38:G38"/>
  </mergeCells>
  <printOptions horizontalCentered="1"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B114"/>
  <sheetViews>
    <sheetView zoomScalePageLayoutView="0" workbookViewId="0" topLeftCell="A1">
      <selection activeCell="I11" sqref="I11"/>
    </sheetView>
  </sheetViews>
  <sheetFormatPr defaultColWidth="9.140625" defaultRowHeight="12.75"/>
  <cols>
    <col min="3" max="3" width="13.28125" style="0" customWidth="1"/>
    <col min="4" max="4" width="11.28125" style="0" customWidth="1"/>
    <col min="5" max="5" width="10.00390625" style="0" customWidth="1"/>
    <col min="6" max="6" width="9.8515625" style="0" customWidth="1"/>
    <col min="9" max="9" width="33.28125" style="0" bestFit="1" customWidth="1"/>
  </cols>
  <sheetData>
    <row r="2" spans="1:8" ht="15.75">
      <c r="A2" s="1426" t="s">
        <v>964</v>
      </c>
      <c r="B2" s="1427"/>
      <c r="C2" s="1427"/>
      <c r="D2" s="1427"/>
      <c r="E2" s="1427"/>
      <c r="F2" s="1427"/>
      <c r="G2" s="1427"/>
      <c r="H2" s="1428"/>
    </row>
    <row r="4" spans="1:5" ht="12.75">
      <c r="A4" s="393" t="s">
        <v>472</v>
      </c>
      <c r="D4" t="s">
        <v>34</v>
      </c>
      <c r="E4" s="483">
        <v>2700</v>
      </c>
    </row>
    <row r="5" spans="3:5" ht="12.75">
      <c r="C5" t="s">
        <v>36</v>
      </c>
      <c r="D5" t="s">
        <v>464</v>
      </c>
      <c r="E5" t="s">
        <v>468</v>
      </c>
    </row>
    <row r="6" spans="3:5" ht="12.75">
      <c r="C6" s="393" t="s">
        <v>502</v>
      </c>
      <c r="D6" s="502">
        <v>0</v>
      </c>
      <c r="E6" s="502">
        <v>29</v>
      </c>
    </row>
    <row r="7" spans="3:6" ht="12.75">
      <c r="C7" s="393" t="s">
        <v>501</v>
      </c>
      <c r="D7" s="502">
        <v>6</v>
      </c>
      <c r="E7" s="502">
        <v>137</v>
      </c>
      <c r="F7" s="393"/>
    </row>
    <row r="8" ht="12.75">
      <c r="E8" s="483"/>
    </row>
    <row r="9" spans="4:8" ht="12.75">
      <c r="D9" s="393" t="s">
        <v>488</v>
      </c>
      <c r="E9" s="1429" t="s">
        <v>489</v>
      </c>
      <c r="F9" s="1429"/>
      <c r="G9" s="1429"/>
      <c r="H9" s="1429"/>
    </row>
    <row r="10" ht="12.75">
      <c r="E10" s="483"/>
    </row>
    <row r="11" spans="5:6" ht="12.75">
      <c r="E11" t="s">
        <v>464</v>
      </c>
      <c r="F11" t="s">
        <v>468</v>
      </c>
    </row>
    <row r="12" spans="3:6" ht="12.75">
      <c r="C12" t="s">
        <v>465</v>
      </c>
      <c r="E12" s="483">
        <v>8250</v>
      </c>
      <c r="F12" s="483">
        <v>8250</v>
      </c>
    </row>
    <row r="13" spans="3:7" ht="12.75">
      <c r="C13" t="s">
        <v>467</v>
      </c>
      <c r="E13" s="483">
        <v>200</v>
      </c>
      <c r="F13" s="483">
        <v>900</v>
      </c>
      <c r="G13" s="393"/>
    </row>
    <row r="14" spans="4:7" ht="12.75">
      <c r="D14" s="393" t="s">
        <v>483</v>
      </c>
      <c r="E14" s="501">
        <f>IF((E15/F13)&lt;=0.05,0.05,IF((E15/F13)&lt;=0.1,0.1,IF((E15/F13)&lt;=0.15,0.15,IF((E15/F13)&lt;=0.2,0.2))))</f>
        <v>0.05</v>
      </c>
      <c r="F14" s="501">
        <f>IF((E15/E13)&lt;=0.05,0.05,IF((E15/E13)&lt;=0.1,0.1,IF((E15/E13)&lt;=0.15,0.15,IF((E15/E13)&lt;=0.2,0.2))))</f>
        <v>0.2</v>
      </c>
      <c r="G14" s="393"/>
    </row>
    <row r="15" spans="4:6" ht="12.75">
      <c r="D15" s="393" t="s">
        <v>38</v>
      </c>
      <c r="E15" s="1430">
        <v>40</v>
      </c>
      <c r="F15" s="1430"/>
    </row>
    <row r="16" ht="12.75">
      <c r="F16" s="393"/>
    </row>
    <row r="17" ht="12.75">
      <c r="E17" s="483"/>
    </row>
    <row r="18" spans="4:5" ht="12.75">
      <c r="D18" t="s">
        <v>80</v>
      </c>
      <c r="E18" s="483">
        <v>20</v>
      </c>
    </row>
    <row r="19" spans="4:5" ht="12.75">
      <c r="D19" t="s">
        <v>466</v>
      </c>
      <c r="E19" s="483">
        <v>415</v>
      </c>
    </row>
    <row r="21" ht="12.75">
      <c r="A21" s="393" t="s">
        <v>312</v>
      </c>
    </row>
    <row r="25" ht="12.75">
      <c r="M25" s="488"/>
    </row>
    <row r="26" spans="12:13" ht="12.75">
      <c r="L26" s="487"/>
      <c r="M26" s="488"/>
    </row>
    <row r="27" spans="2:13" ht="12.75" hidden="1">
      <c r="B27" t="b">
        <v>0</v>
      </c>
      <c r="C27" t="b">
        <v>1</v>
      </c>
      <c r="D27" t="b">
        <v>0</v>
      </c>
      <c r="E27" t="b">
        <v>0</v>
      </c>
      <c r="F27" t="b">
        <v>0</v>
      </c>
      <c r="G27" t="b">
        <v>0</v>
      </c>
      <c r="H27" t="b">
        <v>0</v>
      </c>
      <c r="L27" s="487"/>
      <c r="M27" s="488"/>
    </row>
    <row r="28" spans="2:13" ht="12.75" hidden="1">
      <c r="B28" s="486">
        <v>0.65</v>
      </c>
      <c r="C28" s="486">
        <v>0.8</v>
      </c>
      <c r="D28" s="486">
        <v>1</v>
      </c>
      <c r="E28" s="486">
        <v>1.2</v>
      </c>
      <c r="F28" s="486">
        <v>1.5</v>
      </c>
      <c r="G28" s="486">
        <v>2</v>
      </c>
      <c r="H28" s="486">
        <v>2</v>
      </c>
      <c r="L28" s="487"/>
      <c r="M28" s="488"/>
    </row>
    <row r="29" spans="2:13" ht="12.75">
      <c r="B29" s="486"/>
      <c r="C29" s="486"/>
      <c r="D29" s="486"/>
      <c r="E29" s="486"/>
      <c r="F29" s="486"/>
      <c r="G29" s="486"/>
      <c r="H29" s="486"/>
      <c r="L29" s="487"/>
      <c r="M29" s="488"/>
    </row>
    <row r="30" spans="2:15" ht="12.75">
      <c r="B30" s="393" t="s">
        <v>473</v>
      </c>
      <c r="C30" s="373"/>
      <c r="D30" s="373"/>
      <c r="E30" s="373"/>
      <c r="F30" s="373"/>
      <c r="G30" s="373"/>
      <c r="H30" s="373"/>
      <c r="I30" s="373"/>
      <c r="J30" s="373"/>
      <c r="K30" s="373"/>
      <c r="L30" s="489"/>
      <c r="M30" s="490"/>
      <c r="N30" s="373"/>
      <c r="O30" s="373"/>
    </row>
    <row r="31" spans="3:15" ht="12.75">
      <c r="C31" s="373"/>
      <c r="D31" s="507">
        <f>IF(B27=TRUE,B28,IF(C27=TRUE,C28,IF(D27=TRUE,D28,IF(E27=TRUE,E28,IF(F27=TRUE,F28,IF(G27=TRUE,G28,IF(H27=TRUE,H28,"Please Select one option")))))))</f>
        <v>0.8</v>
      </c>
      <c r="E31" s="491" t="s">
        <v>510</v>
      </c>
      <c r="F31" s="373"/>
      <c r="G31" s="373"/>
      <c r="H31" s="373"/>
      <c r="I31" s="373"/>
      <c r="J31" s="373"/>
      <c r="K31" s="373"/>
      <c r="L31" s="489"/>
      <c r="M31" s="490"/>
      <c r="N31" s="373"/>
      <c r="O31" s="373"/>
    </row>
    <row r="32" spans="2:15" ht="12.75">
      <c r="B32" s="393"/>
      <c r="C32" s="373"/>
      <c r="D32" s="508">
        <v>0.9</v>
      </c>
      <c r="E32" s="491" t="s">
        <v>511</v>
      </c>
      <c r="F32" s="373"/>
      <c r="G32" s="373"/>
      <c r="H32" s="373"/>
      <c r="I32" s="373"/>
      <c r="J32" s="373"/>
      <c r="K32" s="373"/>
      <c r="L32" s="489"/>
      <c r="M32" s="490"/>
      <c r="N32" s="373"/>
      <c r="O32" s="373"/>
    </row>
    <row r="33" spans="2:15" ht="12.75">
      <c r="B33" s="393" t="s">
        <v>512</v>
      </c>
      <c r="C33" s="373"/>
      <c r="D33" s="497"/>
      <c r="E33" s="373"/>
      <c r="F33" s="1431" t="s">
        <v>513</v>
      </c>
      <c r="G33" s="1431"/>
      <c r="H33" s="373"/>
      <c r="I33" s="373" t="s">
        <v>72</v>
      </c>
      <c r="J33" s="373"/>
      <c r="K33" s="373"/>
      <c r="L33" s="489"/>
      <c r="M33" s="490"/>
      <c r="N33" s="373"/>
      <c r="O33" s="373"/>
    </row>
    <row r="34" spans="2:15" ht="12.75">
      <c r="B34" s="393" t="s">
        <v>477</v>
      </c>
      <c r="C34" s="373"/>
      <c r="D34" s="393" t="s">
        <v>508</v>
      </c>
      <c r="E34" s="491" t="s">
        <v>509</v>
      </c>
      <c r="F34" s="373"/>
      <c r="G34" s="373"/>
      <c r="H34" s="373"/>
      <c r="I34" s="373"/>
      <c r="J34" s="373"/>
      <c r="K34" s="373"/>
      <c r="L34" s="373"/>
      <c r="M34" s="373"/>
      <c r="N34" s="373"/>
      <c r="O34" s="373"/>
    </row>
    <row r="35" spans="2:15" ht="12.75">
      <c r="B35" s="373"/>
      <c r="C35" s="373"/>
      <c r="D35" s="498">
        <f>IF(F33="IS CODE",D31*E12,D32*E12)</f>
        <v>7425</v>
      </c>
      <c r="E35" s="498">
        <f>IF(F33="IS CODE",D31*F12,D32*F12)</f>
        <v>7425</v>
      </c>
      <c r="F35" s="373"/>
      <c r="G35" s="373"/>
      <c r="H35" s="373"/>
      <c r="I35" s="373"/>
      <c r="J35" s="373"/>
      <c r="K35" s="373"/>
      <c r="L35" s="489"/>
      <c r="M35" s="373"/>
      <c r="N35" s="373"/>
      <c r="O35" s="373"/>
    </row>
    <row r="36" spans="1:15" ht="12.75">
      <c r="A36" s="393" t="s">
        <v>474</v>
      </c>
      <c r="B36" s="491" t="s">
        <v>475</v>
      </c>
      <c r="C36" s="373"/>
      <c r="D36" s="373"/>
      <c r="E36" s="373"/>
      <c r="F36" s="373"/>
      <c r="G36" s="373"/>
      <c r="H36" s="373"/>
      <c r="I36" s="373"/>
      <c r="J36" s="495"/>
      <c r="K36" s="496"/>
      <c r="L36" s="373"/>
      <c r="M36" s="373"/>
      <c r="N36" s="373"/>
      <c r="O36" s="373"/>
    </row>
    <row r="37" spans="2:15" ht="12.75">
      <c r="B37" s="492" t="s">
        <v>476</v>
      </c>
      <c r="C37" s="499">
        <f>D35/F13</f>
        <v>8.25</v>
      </c>
      <c r="D37" s="1434" t="str">
        <f>IF(C37&gt;12,"Slender Column","Short Column")</f>
        <v>Short Column</v>
      </c>
      <c r="E37" s="1434"/>
      <c r="G37" s="373"/>
      <c r="H37" s="373"/>
      <c r="I37" s="373"/>
      <c r="J37" s="495"/>
      <c r="K37" s="496"/>
      <c r="L37" s="373"/>
      <c r="M37" s="373"/>
      <c r="N37" s="373"/>
      <c r="O37" s="373"/>
    </row>
    <row r="38" spans="2:15" ht="12.75">
      <c r="B38" s="492" t="s">
        <v>478</v>
      </c>
      <c r="C38" s="499">
        <f>E35/E13</f>
        <v>37.125</v>
      </c>
      <c r="D38" s="1434" t="str">
        <f>IF(C38&gt;12,"Slender Column","Short Column")</f>
        <v>Slender Column</v>
      </c>
      <c r="E38" s="1434"/>
      <c r="G38" s="373"/>
      <c r="H38" s="373"/>
      <c r="I38" s="373"/>
      <c r="J38" s="373"/>
      <c r="K38" s="373"/>
      <c r="L38" s="373"/>
      <c r="M38" s="373"/>
      <c r="N38" s="373"/>
      <c r="O38" s="373"/>
    </row>
    <row r="39" spans="2:15" ht="12.75">
      <c r="B39" s="393" t="s">
        <v>479</v>
      </c>
      <c r="D39" s="393" t="s">
        <v>480</v>
      </c>
      <c r="E39" s="500">
        <f>IF(D37="Short Column",0,(((E4*F13*C37^2)/2000)/1000))</f>
        <v>0</v>
      </c>
      <c r="F39" s="523"/>
      <c r="G39" s="523"/>
      <c r="H39" s="373"/>
      <c r="I39" s="373"/>
      <c r="J39" s="373"/>
      <c r="K39" s="373"/>
      <c r="L39" s="373"/>
      <c r="M39" s="373"/>
      <c r="N39" s="373"/>
      <c r="O39" s="373"/>
    </row>
    <row r="40" spans="4:15" ht="12.75">
      <c r="D40" s="393" t="s">
        <v>481</v>
      </c>
      <c r="E40" s="500">
        <f>IF(D38="Short Column",0,(((E4*E13*C38^2)/2000)/1000))</f>
        <v>372.13171875</v>
      </c>
      <c r="F40" s="523"/>
      <c r="G40" s="523"/>
      <c r="H40" s="373"/>
      <c r="I40" s="373"/>
      <c r="J40" s="373"/>
      <c r="K40" s="373"/>
      <c r="L40" s="373"/>
      <c r="M40" s="373"/>
      <c r="N40" s="373"/>
      <c r="O40" s="373"/>
    </row>
    <row r="41" spans="2:15" ht="12.75"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</row>
    <row r="42" spans="2:15" ht="12.75">
      <c r="B42" t="s">
        <v>469</v>
      </c>
      <c r="C42" t="s">
        <v>470</v>
      </c>
      <c r="D42" s="484">
        <f>(E12/500)+(F13/30)</f>
        <v>46.5</v>
      </c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</row>
    <row r="43" spans="3:9" ht="12.75">
      <c r="C43" t="s">
        <v>48</v>
      </c>
      <c r="D43" s="484">
        <f>(E12/500)+(E13/30)</f>
        <v>23.166666666666668</v>
      </c>
      <c r="F43" s="373"/>
      <c r="G43" s="373"/>
      <c r="H43" s="493"/>
      <c r="I43" s="493"/>
    </row>
    <row r="44" spans="2:9" ht="12.75">
      <c r="B44" t="s">
        <v>471</v>
      </c>
      <c r="D44" t="s">
        <v>250</v>
      </c>
      <c r="E44" s="485">
        <f>E4*(D42/1000)</f>
        <v>125.55</v>
      </c>
      <c r="F44" s="373"/>
      <c r="G44" s="373"/>
      <c r="H44" s="493"/>
      <c r="I44" s="494"/>
    </row>
    <row r="45" spans="4:9" ht="12.75">
      <c r="D45" t="s">
        <v>251</v>
      </c>
      <c r="E45" s="485">
        <f>E4*(D43/1000)</f>
        <v>62.550000000000004</v>
      </c>
      <c r="H45" s="493"/>
      <c r="I45" s="493"/>
    </row>
    <row r="46" spans="8:9" ht="12.75">
      <c r="H46" s="493"/>
      <c r="I46" s="493"/>
    </row>
    <row r="50" spans="1:2" ht="12.75">
      <c r="A50" t="s">
        <v>486</v>
      </c>
      <c r="B50" t="s">
        <v>485</v>
      </c>
    </row>
    <row r="51" spans="2:5" ht="12.75">
      <c r="B51" t="s">
        <v>487</v>
      </c>
      <c r="E51" s="483">
        <v>2.18</v>
      </c>
    </row>
    <row r="52" spans="4:5" ht="12.75">
      <c r="D52" s="393" t="s">
        <v>6</v>
      </c>
      <c r="E52" s="485">
        <f>(E51/100)*E13*F13</f>
        <v>3924.0000000000005</v>
      </c>
    </row>
    <row r="54" spans="4:5" ht="12.75">
      <c r="D54" s="393" t="s">
        <v>496</v>
      </c>
      <c r="E54" s="500">
        <f>((0.45*E18*E13*F13)+(0.75*E19*E52))/1000</f>
        <v>2841.345</v>
      </c>
    </row>
    <row r="56" spans="4:19" ht="12.75">
      <c r="D56" s="503" t="s">
        <v>482</v>
      </c>
      <c r="E56" s="503" t="s">
        <v>493</v>
      </c>
      <c r="F56" s="503" t="s">
        <v>494</v>
      </c>
      <c r="I56" s="516" t="s">
        <v>482</v>
      </c>
      <c r="J56" s="1432" t="s">
        <v>483</v>
      </c>
      <c r="K56" s="1433"/>
      <c r="L56" s="1433"/>
      <c r="M56" s="1433"/>
      <c r="N56" s="373"/>
      <c r="O56" s="492"/>
      <c r="P56" s="493"/>
      <c r="Q56" s="373"/>
      <c r="R56" s="373"/>
      <c r="S56" s="373"/>
    </row>
    <row r="57" spans="3:19" ht="12.75">
      <c r="C57" s="393" t="s">
        <v>491</v>
      </c>
      <c r="D57" s="504">
        <f>INDEX(I57:M60,MATCH(E9,I57:I60,0),MATCH(E14,I57:M57,0))</f>
        <v>0.219</v>
      </c>
      <c r="E57" s="504">
        <f>INDEX(I63:M66,MATCH(E9,I63:I66,0),MATCH(E14,I63:M63,0))</f>
        <v>0.096</v>
      </c>
      <c r="F57" s="505">
        <f>((D57+(E57*E51/E18))*E18*E13*400)/1000</f>
        <v>367.1424</v>
      </c>
      <c r="I57" s="516"/>
      <c r="J57" s="517">
        <v>0.05</v>
      </c>
      <c r="K57" s="518">
        <v>0.1</v>
      </c>
      <c r="L57" s="518">
        <v>0.15</v>
      </c>
      <c r="M57" s="517">
        <v>0.2</v>
      </c>
      <c r="N57" s="373"/>
      <c r="O57" s="492"/>
      <c r="P57" s="493"/>
      <c r="Q57" s="373"/>
      <c r="R57" s="373"/>
      <c r="S57" s="493"/>
    </row>
    <row r="58" spans="3:13" ht="12.75">
      <c r="C58" s="393" t="s">
        <v>492</v>
      </c>
      <c r="D58" s="504">
        <f>INDEX(I57:M60,MATCH(E9,I57:I60,0),MATCH(F14,I57:M57,0))</f>
        <v>0.184</v>
      </c>
      <c r="E58" s="504">
        <f>INDEX(I63:M66,MATCH(E9,I63:I66,0),MATCH(F14,I63:M63,0))</f>
        <v>-0.022</v>
      </c>
      <c r="F58" s="505">
        <f>((D58+(E58*E51/E18))*E18*E13*400)/1000</f>
        <v>290.5632</v>
      </c>
      <c r="I58" s="516" t="s">
        <v>489</v>
      </c>
      <c r="J58" s="517">
        <v>0.219</v>
      </c>
      <c r="K58" s="518">
        <v>0.207</v>
      </c>
      <c r="L58" s="518">
        <v>0.196</v>
      </c>
      <c r="M58" s="518">
        <v>0.184</v>
      </c>
    </row>
    <row r="59" spans="9:13" ht="12.75">
      <c r="I59" s="516" t="s">
        <v>490</v>
      </c>
      <c r="J59" s="517">
        <v>0.219</v>
      </c>
      <c r="K59" s="518">
        <v>0.207</v>
      </c>
      <c r="L59" s="518">
        <v>0.196</v>
      </c>
      <c r="M59" s="518">
        <v>0.184</v>
      </c>
    </row>
    <row r="60" spans="3:23" ht="12.75">
      <c r="C60" s="393" t="s">
        <v>495</v>
      </c>
      <c r="D60" s="506">
        <f>(E54-E4)/(E54-F57)</f>
        <v>0.05712749634973297</v>
      </c>
      <c r="I60" s="516" t="s">
        <v>484</v>
      </c>
      <c r="J60" s="517">
        <v>0.172</v>
      </c>
      <c r="K60" s="518">
        <v>0.16</v>
      </c>
      <c r="L60" s="518">
        <v>0.149</v>
      </c>
      <c r="M60" s="518">
        <v>0.138</v>
      </c>
      <c r="P60" s="492"/>
      <c r="W60" s="492"/>
    </row>
    <row r="61" spans="3:25" ht="12.75">
      <c r="C61" s="393" t="s">
        <v>497</v>
      </c>
      <c r="D61" s="506">
        <f>(E54-E4)/(E54-F58)</f>
        <v>0.05541242296773476</v>
      </c>
      <c r="I61" s="492"/>
      <c r="J61" s="492"/>
      <c r="K61" s="492"/>
      <c r="P61" s="492"/>
      <c r="Q61" s="492"/>
      <c r="R61" s="492"/>
      <c r="W61" s="492"/>
      <c r="X61" s="492"/>
      <c r="Y61" s="492"/>
    </row>
    <row r="62" spans="9:28" ht="12.75">
      <c r="I62" s="519" t="s">
        <v>493</v>
      </c>
      <c r="J62" s="1432" t="s">
        <v>483</v>
      </c>
      <c r="K62" s="1433"/>
      <c r="L62" s="1433"/>
      <c r="M62" s="1433"/>
      <c r="N62" s="493"/>
      <c r="R62" s="493"/>
      <c r="S62" s="373"/>
      <c r="T62" s="373"/>
      <c r="U62" s="493"/>
      <c r="Y62" s="493"/>
      <c r="Z62" s="373">
        <v>0.1</v>
      </c>
      <c r="AA62" s="373">
        <v>0.15</v>
      </c>
      <c r="AB62" s="493">
        <v>0.2</v>
      </c>
    </row>
    <row r="63" spans="2:28" ht="12.75">
      <c r="B63" s="393" t="s">
        <v>498</v>
      </c>
      <c r="D63" s="393"/>
      <c r="E63" s="393" t="s">
        <v>499</v>
      </c>
      <c r="F63" s="505">
        <f>D60*E39</f>
        <v>0</v>
      </c>
      <c r="I63" s="518"/>
      <c r="J63" s="520">
        <v>0.05</v>
      </c>
      <c r="K63" s="521">
        <v>0.1</v>
      </c>
      <c r="L63" s="521">
        <v>0.15</v>
      </c>
      <c r="M63" s="520">
        <v>0.2</v>
      </c>
      <c r="P63" s="492"/>
      <c r="W63" s="492"/>
      <c r="Z63">
        <v>0.323</v>
      </c>
      <c r="AA63">
        <v>0.201</v>
      </c>
      <c r="AB63">
        <v>0.036</v>
      </c>
    </row>
    <row r="64" spans="4:13" ht="12.75">
      <c r="D64" s="393"/>
      <c r="E64" s="393" t="s">
        <v>500</v>
      </c>
      <c r="F64" s="505">
        <f>D61*E40</f>
        <v>20.620720199085113</v>
      </c>
      <c r="I64" s="516" t="s">
        <v>489</v>
      </c>
      <c r="J64" s="521">
        <v>0.096</v>
      </c>
      <c r="K64" s="521">
        <v>0.082</v>
      </c>
      <c r="L64" s="521">
        <v>0.046</v>
      </c>
      <c r="M64" s="521">
        <v>-0.022</v>
      </c>
    </row>
    <row r="65" spans="9:23" ht="12.75">
      <c r="I65" s="516" t="s">
        <v>490</v>
      </c>
      <c r="J65" s="521">
        <v>0.424</v>
      </c>
      <c r="K65" s="521">
        <v>0.328</v>
      </c>
      <c r="L65" s="521">
        <v>0.203</v>
      </c>
      <c r="M65" s="521">
        <v>0.028</v>
      </c>
      <c r="P65" s="492"/>
      <c r="W65" s="492"/>
    </row>
    <row r="66" spans="9:25" ht="12.75">
      <c r="I66" s="516" t="s">
        <v>484</v>
      </c>
      <c r="J66" s="521">
        <v>0.41</v>
      </c>
      <c r="K66" s="521">
        <v>0.323</v>
      </c>
      <c r="L66" s="521">
        <v>0.201</v>
      </c>
      <c r="M66" s="521">
        <v>0.036</v>
      </c>
      <c r="P66" s="492"/>
      <c r="Q66" s="492"/>
      <c r="R66" s="492"/>
      <c r="W66" s="492"/>
      <c r="X66" s="492"/>
      <c r="Y66" s="492"/>
    </row>
    <row r="67" spans="2:28" ht="12.75">
      <c r="B67" s="393" t="s">
        <v>503</v>
      </c>
      <c r="D67" s="393" t="s">
        <v>250</v>
      </c>
      <c r="E67" s="485">
        <f>(0.6*MAX(D6:D7)-(0.4*MIN(D6:D7)))</f>
        <v>3.5999999999999996</v>
      </c>
      <c r="K67" s="493"/>
      <c r="L67" s="373"/>
      <c r="M67" s="373"/>
      <c r="N67" s="493"/>
      <c r="R67" s="493"/>
      <c r="S67" s="373"/>
      <c r="T67" s="373"/>
      <c r="U67" s="493"/>
      <c r="Y67" s="493"/>
      <c r="Z67" s="373">
        <v>0.1</v>
      </c>
      <c r="AA67" s="373">
        <v>0.15</v>
      </c>
      <c r="AB67" s="493">
        <v>0.2</v>
      </c>
    </row>
    <row r="68" spans="4:28" ht="12.75">
      <c r="D68" s="393" t="s">
        <v>251</v>
      </c>
      <c r="E68" s="485">
        <f>(0.6*MAX(E6:E7)-(0.4*MIN(E6:E7)))</f>
        <v>70.6</v>
      </c>
      <c r="I68" s="492"/>
      <c r="P68" s="492"/>
      <c r="W68" s="492"/>
      <c r="Z68">
        <v>0.443</v>
      </c>
      <c r="AA68">
        <v>0.291</v>
      </c>
      <c r="AB68">
        <v>0.056</v>
      </c>
    </row>
    <row r="70" ht="12.75">
      <c r="I70" s="393"/>
    </row>
    <row r="71" ht="12.75">
      <c r="B71" s="393" t="s">
        <v>504</v>
      </c>
    </row>
    <row r="72" spans="2:3" ht="12.75">
      <c r="B72" s="393" t="s">
        <v>472</v>
      </c>
      <c r="C72" s="393" t="s">
        <v>505</v>
      </c>
    </row>
    <row r="73" spans="3:4" ht="12.75">
      <c r="C73" s="393" t="s">
        <v>250</v>
      </c>
      <c r="D73" s="500">
        <f>E44+F63</f>
        <v>125.55</v>
      </c>
    </row>
    <row r="74" spans="3:4" ht="12.75">
      <c r="C74" s="393" t="s">
        <v>251</v>
      </c>
      <c r="D74" s="500">
        <f>E45+F64</f>
        <v>83.17072019908511</v>
      </c>
    </row>
    <row r="76" spans="2:11" ht="12.75">
      <c r="B76" s="393" t="s">
        <v>292</v>
      </c>
      <c r="C76" s="393" t="s">
        <v>506</v>
      </c>
      <c r="K76" s="492"/>
    </row>
    <row r="77" spans="3:4" ht="12.75">
      <c r="C77" s="393" t="s">
        <v>250</v>
      </c>
      <c r="D77" s="500">
        <f>E67+F63</f>
        <v>3.5999999999999996</v>
      </c>
    </row>
    <row r="78" spans="3:8" ht="12.75">
      <c r="C78" s="393" t="s">
        <v>251</v>
      </c>
      <c r="D78" s="500">
        <f>E68+F64</f>
        <v>91.22072019908511</v>
      </c>
      <c r="H78" s="413"/>
    </row>
    <row r="80" spans="2:3" ht="12.75">
      <c r="B80" s="393" t="s">
        <v>352</v>
      </c>
      <c r="C80" s="393" t="s">
        <v>507</v>
      </c>
    </row>
    <row r="81" spans="3:4" ht="12.75">
      <c r="C81" s="393" t="s">
        <v>250</v>
      </c>
      <c r="D81" s="500">
        <f>(0.4*D6)+F63</f>
        <v>0</v>
      </c>
    </row>
    <row r="82" spans="3:4" ht="12.75">
      <c r="C82" s="393" t="s">
        <v>251</v>
      </c>
      <c r="D82" s="500">
        <f>(0.4*E6)+F64</f>
        <v>32.220720199085115</v>
      </c>
    </row>
    <row r="83" spans="11:15" ht="12.75">
      <c r="K83" s="486"/>
      <c r="L83" s="486"/>
      <c r="M83" s="486"/>
      <c r="N83" s="486"/>
      <c r="O83" s="486"/>
    </row>
    <row r="84" spans="11:15" ht="12.75">
      <c r="K84" s="515"/>
      <c r="L84" s="515"/>
      <c r="M84" s="515"/>
      <c r="N84" s="515"/>
      <c r="O84" s="515"/>
    </row>
    <row r="85" spans="2:15" ht="12.75">
      <c r="B85" s="393" t="s">
        <v>514</v>
      </c>
      <c r="K85" s="515"/>
      <c r="L85" s="515"/>
      <c r="M85" s="515"/>
      <c r="N85" s="515"/>
      <c r="O85" s="515"/>
    </row>
    <row r="86" spans="3:15" ht="12.75">
      <c r="C86" s="393" t="s">
        <v>35</v>
      </c>
      <c r="D86" s="485">
        <f>E4</f>
        <v>2700</v>
      </c>
      <c r="K86" s="515"/>
      <c r="L86" s="515"/>
      <c r="M86" s="515"/>
      <c r="N86" s="515"/>
      <c r="O86" s="515"/>
    </row>
    <row r="87" spans="3:15" ht="12.75">
      <c r="C87" s="393" t="s">
        <v>250</v>
      </c>
      <c r="D87" s="500">
        <f>MAX(D73,D77,D81)</f>
        <v>125.55</v>
      </c>
      <c r="K87" s="515"/>
      <c r="L87" s="515"/>
      <c r="M87" s="515"/>
      <c r="N87" s="515"/>
      <c r="O87" s="515"/>
    </row>
    <row r="88" spans="3:4" ht="12.75">
      <c r="C88" s="393" t="s">
        <v>251</v>
      </c>
      <c r="D88" s="500">
        <f>MAX(D74,D78,D82)</f>
        <v>91.22072019908511</v>
      </c>
    </row>
    <row r="89" ht="12.75">
      <c r="K89" s="515"/>
    </row>
    <row r="90" ht="12.75">
      <c r="B90" s="393" t="s">
        <v>515</v>
      </c>
    </row>
    <row r="91" spans="3:4" ht="12.75">
      <c r="C91" s="393" t="s">
        <v>516</v>
      </c>
      <c r="D91" s="509">
        <f>(D86*1000)/(E18*E13*F13)</f>
        <v>0.75</v>
      </c>
    </row>
    <row r="93" spans="3:4" ht="12.75">
      <c r="C93" s="393" t="s">
        <v>39</v>
      </c>
      <c r="D93" s="504">
        <f>E51/E18</f>
        <v>0.10900000000000001</v>
      </c>
    </row>
    <row r="94" spans="3:4" ht="12.75">
      <c r="C94" s="393"/>
      <c r="D94" s="504"/>
    </row>
    <row r="96" spans="3:4" ht="12.75">
      <c r="C96" s="393" t="s">
        <v>517</v>
      </c>
      <c r="D96" s="510">
        <v>0.21</v>
      </c>
    </row>
    <row r="97" spans="3:4" ht="12.75">
      <c r="C97" s="393" t="s">
        <v>518</v>
      </c>
      <c r="D97" s="510">
        <v>0.15</v>
      </c>
    </row>
    <row r="99" spans="3:4" ht="12.75">
      <c r="C99" s="393" t="s">
        <v>519</v>
      </c>
      <c r="D99" s="511">
        <f>(D96*E18*E13*F13^2)/1000000</f>
        <v>680.4</v>
      </c>
    </row>
    <row r="100" spans="3:4" ht="12.75">
      <c r="C100" s="393" t="s">
        <v>520</v>
      </c>
      <c r="D100" s="511">
        <f>(D97*E18*F13*E13^2)/1000000</f>
        <v>108</v>
      </c>
    </row>
    <row r="102" spans="3:4" ht="12.75">
      <c r="C102" s="393" t="s">
        <v>521</v>
      </c>
      <c r="D102" s="506">
        <f>D87/D99</f>
        <v>0.18452380952380953</v>
      </c>
    </row>
    <row r="103" spans="3:4" ht="12.75">
      <c r="C103" s="393" t="s">
        <v>522</v>
      </c>
      <c r="D103" s="506">
        <f>D88/D100</f>
        <v>0.8446362981396769</v>
      </c>
    </row>
    <row r="105" spans="3:4" ht="12.75">
      <c r="C105" s="393" t="s">
        <v>523</v>
      </c>
      <c r="D105" s="506">
        <f>D86/E54</f>
        <v>0.9502541929966266</v>
      </c>
    </row>
    <row r="107" spans="3:7" ht="15">
      <c r="C107" s="512" t="s">
        <v>524</v>
      </c>
      <c r="D107" s="506">
        <f>IF(D105&lt;0.2,1,IF(D105&gt;0.8,2,(1+(((D105-0.2)/(0.8-0.2))*(2-1)))))</f>
        <v>2</v>
      </c>
      <c r="G107" s="393"/>
    </row>
    <row r="108" spans="7:8" ht="12.75">
      <c r="G108" s="393"/>
      <c r="H108" s="487"/>
    </row>
    <row r="109" spans="3:7" ht="14.25">
      <c r="C109" s="393" t="s">
        <v>525</v>
      </c>
      <c r="E109" s="509">
        <f>((D102)^D107)+((D103)^D107)</f>
        <v>0.7474595124162763</v>
      </c>
      <c r="G109" s="393"/>
    </row>
    <row r="111" ht="12.75">
      <c r="C111" s="513" t="str">
        <f>IF(E109&lt;1,"Provided Steel is OK","Revise the Steel Provided")</f>
        <v>Provided Steel is OK</v>
      </c>
    </row>
    <row r="113" spans="3:7" ht="12.75">
      <c r="C113" s="393"/>
      <c r="G113">
        <v>1</v>
      </c>
    </row>
    <row r="114" spans="3:6" ht="12.75">
      <c r="C114" s="393" t="s">
        <v>526</v>
      </c>
      <c r="E114" s="509">
        <f>G113</f>
        <v>1</v>
      </c>
      <c r="F114" s="514" t="str">
        <f>IF(E114&lt;0.8,"Ast provided is less than Min Ast required",IF(E114&gt;4,"Over Reinforced","Steel provided is OK"))</f>
        <v>Steel provided is OK</v>
      </c>
    </row>
  </sheetData>
  <sheetProtection/>
  <mergeCells count="8">
    <mergeCell ref="A2:H2"/>
    <mergeCell ref="E9:H9"/>
    <mergeCell ref="E15:F15"/>
    <mergeCell ref="F33:G33"/>
    <mergeCell ref="J62:M62"/>
    <mergeCell ref="J56:M56"/>
    <mergeCell ref="D37:E37"/>
    <mergeCell ref="D38:E38"/>
  </mergeCells>
  <dataValidations count="2">
    <dataValidation type="list" allowBlank="1" showInputMessage="1" showErrorMessage="1" sqref="F33">
      <formula1>"IS CODE, Manual Calculation"</formula1>
    </dataValidation>
    <dataValidation type="list" allowBlank="1" showInputMessage="1" showErrorMessage="1" sqref="E9">
      <formula1>"Rectangular Column (reinf. on 2 sides), Rectangular Column (reinf. on 4 sides), Circular Column"</formula1>
    </dataValidation>
  </dataValidations>
  <printOptions/>
  <pageMargins left="0.7" right="0.7" top="0.25" bottom="0.25" header="0.3" footer="0.3"/>
  <pageSetup orientation="portrait" paperSize="9" scale="70" r:id="rId3"/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9.140625" style="43" customWidth="1"/>
    <col min="2" max="2" width="14.8515625" style="43" customWidth="1"/>
    <col min="3" max="3" width="13.57421875" style="43" customWidth="1"/>
    <col min="4" max="4" width="12.140625" style="524" customWidth="1"/>
    <col min="5" max="5" width="12.28125" style="43" customWidth="1"/>
    <col min="6" max="6" width="6.28125" style="43" customWidth="1"/>
    <col min="7" max="16384" width="9.140625" style="43" customWidth="1"/>
  </cols>
  <sheetData>
    <row r="1" spans="1:6" ht="12.75">
      <c r="A1" s="53"/>
      <c r="B1" s="538"/>
      <c r="C1" s="116"/>
      <c r="D1" s="562"/>
      <c r="E1" s="562"/>
      <c r="F1" s="563"/>
    </row>
    <row r="2" spans="1:6" ht="15.75">
      <c r="A2" s="1393" t="s">
        <v>965</v>
      </c>
      <c r="B2" s="1394"/>
      <c r="C2" s="1394"/>
      <c r="D2" s="1394"/>
      <c r="E2" s="1394"/>
      <c r="F2" s="1395"/>
    </row>
    <row r="3" spans="1:6" ht="12.75">
      <c r="A3" s="53"/>
      <c r="B3" s="384"/>
      <c r="C3" s="116"/>
      <c r="D3" s="528"/>
      <c r="E3" s="116"/>
      <c r="F3" s="529"/>
    </row>
    <row r="4" spans="1:6" ht="12.75">
      <c r="A4" s="53"/>
      <c r="B4" s="1440" t="s">
        <v>536</v>
      </c>
      <c r="C4" s="1440"/>
      <c r="D4" s="324"/>
      <c r="E4" s="23"/>
      <c r="F4" s="137"/>
    </row>
    <row r="5" spans="1:6" ht="12.75">
      <c r="A5" s="53"/>
      <c r="B5" s="545" t="s">
        <v>551</v>
      </c>
      <c r="C5" s="546">
        <v>2400</v>
      </c>
      <c r="D5" s="23"/>
      <c r="E5" s="23"/>
      <c r="F5" s="137"/>
    </row>
    <row r="6" spans="1:6" ht="12.75">
      <c r="A6" s="53"/>
      <c r="B6" s="539" t="s">
        <v>552</v>
      </c>
      <c r="C6" s="547">
        <v>192</v>
      </c>
      <c r="D6" s="23"/>
      <c r="E6" s="23"/>
      <c r="F6" s="137"/>
    </row>
    <row r="7" spans="1:11" ht="12.75">
      <c r="A7" s="53"/>
      <c r="B7" s="543" t="s">
        <v>553</v>
      </c>
      <c r="C7" s="548">
        <v>517</v>
      </c>
      <c r="D7" s="23"/>
      <c r="E7" s="23"/>
      <c r="F7" s="137"/>
      <c r="G7" s="525"/>
      <c r="H7" s="525"/>
      <c r="I7" s="525"/>
      <c r="J7" s="525"/>
      <c r="K7" s="525"/>
    </row>
    <row r="8" spans="1:11" ht="12.75">
      <c r="A8" s="53"/>
      <c r="B8" s="392"/>
      <c r="C8" s="534"/>
      <c r="D8" s="23"/>
      <c r="E8" s="23"/>
      <c r="F8" s="137"/>
      <c r="G8" s="525"/>
      <c r="H8" s="525"/>
      <c r="I8" s="525"/>
      <c r="J8" s="525"/>
      <c r="K8" s="525"/>
    </row>
    <row r="9" spans="1:11" ht="12.75">
      <c r="A9" s="53"/>
      <c r="B9" s="1440" t="s">
        <v>535</v>
      </c>
      <c r="C9" s="1440"/>
      <c r="D9" s="23"/>
      <c r="E9" s="23"/>
      <c r="F9" s="137"/>
      <c r="G9" s="525"/>
      <c r="H9" s="525"/>
      <c r="I9" s="525"/>
      <c r="J9" s="525"/>
      <c r="K9" s="525"/>
    </row>
    <row r="10" spans="1:11" ht="12.75">
      <c r="A10" s="53"/>
      <c r="B10" s="545" t="s">
        <v>530</v>
      </c>
      <c r="C10" s="549">
        <v>600</v>
      </c>
      <c r="D10" s="43"/>
      <c r="E10" s="23"/>
      <c r="F10" s="137"/>
      <c r="G10" s="525"/>
      <c r="H10" s="525"/>
      <c r="I10" s="525"/>
      <c r="J10" s="525"/>
      <c r="K10" s="525"/>
    </row>
    <row r="11" spans="1:11" ht="12.75">
      <c r="A11" s="53"/>
      <c r="B11" s="539" t="s">
        <v>531</v>
      </c>
      <c r="C11" s="540">
        <v>750</v>
      </c>
      <c r="D11" s="43"/>
      <c r="E11" s="23"/>
      <c r="F11" s="137"/>
      <c r="G11" s="525"/>
      <c r="H11" s="525"/>
      <c r="I11" s="525"/>
      <c r="J11" s="525"/>
      <c r="K11" s="525"/>
    </row>
    <row r="12" spans="1:11" ht="12.75">
      <c r="A12" s="53"/>
      <c r="B12" s="539" t="s">
        <v>532</v>
      </c>
      <c r="C12" s="541">
        <v>40</v>
      </c>
      <c r="D12" s="530"/>
      <c r="E12" s="23"/>
      <c r="F12" s="137"/>
      <c r="G12" s="525"/>
      <c r="H12" s="525"/>
      <c r="I12" s="525"/>
      <c r="J12" s="525"/>
      <c r="K12" s="525"/>
    </row>
    <row r="13" spans="1:6" ht="12.75">
      <c r="A13" s="53"/>
      <c r="B13" s="539" t="s">
        <v>533</v>
      </c>
      <c r="C13" s="542">
        <f>IF((C12/C11)&lt;=0.05,0.05,IF((C12/C11)&lt;=0.1,0.1,IF((C12/C11)&lt;=0.15,0.15,IF((C12/C11)&lt;=0.2,0.2,0.2))))</f>
        <v>0.1</v>
      </c>
      <c r="D13" s="43"/>
      <c r="E13" s="23"/>
      <c r="F13" s="137"/>
    </row>
    <row r="14" spans="1:6" ht="12.75">
      <c r="A14" s="53"/>
      <c r="B14" s="543" t="s">
        <v>534</v>
      </c>
      <c r="C14" s="544">
        <f>IF((C12/C10)&lt;=0.05,0.05,IF((C12/C10)&lt;=0.1,0.1,IF((C12/C10)&lt;=0.15,0.15,IF((C12/C10)&lt;=0.2,0.2,0.2))))</f>
        <v>0.1</v>
      </c>
      <c r="D14" s="23"/>
      <c r="E14" s="23"/>
      <c r="F14" s="137"/>
    </row>
    <row r="15" spans="1:6" ht="12.75">
      <c r="A15" s="53"/>
      <c r="B15" s="535"/>
      <c r="C15" s="536"/>
      <c r="D15" s="23"/>
      <c r="E15" s="23"/>
      <c r="F15" s="137"/>
    </row>
    <row r="16" spans="1:6" ht="12.75">
      <c r="A16" s="53"/>
      <c r="B16" s="1435" t="s">
        <v>13</v>
      </c>
      <c r="C16" s="1435"/>
      <c r="D16" s="23"/>
      <c r="E16" s="23"/>
      <c r="F16" s="137"/>
    </row>
    <row r="17" spans="1:6" ht="12.75">
      <c r="A17" s="53"/>
      <c r="B17" s="545" t="s">
        <v>537</v>
      </c>
      <c r="C17" s="550">
        <v>20</v>
      </c>
      <c r="D17" s="23"/>
      <c r="E17" s="23"/>
      <c r="F17" s="137"/>
    </row>
    <row r="18" spans="1:7" ht="12.75">
      <c r="A18" s="53"/>
      <c r="B18" s="543" t="s">
        <v>538</v>
      </c>
      <c r="C18" s="170">
        <v>415</v>
      </c>
      <c r="D18" s="23"/>
      <c r="E18" s="23"/>
      <c r="F18" s="137"/>
      <c r="G18" s="525"/>
    </row>
    <row r="19" spans="1:7" ht="12.75">
      <c r="A19" s="53"/>
      <c r="B19" s="44"/>
      <c r="C19" s="537"/>
      <c r="D19" s="23"/>
      <c r="E19" s="23"/>
      <c r="F19" s="137"/>
      <c r="G19" s="525"/>
    </row>
    <row r="20" spans="1:7" ht="12.75">
      <c r="A20" s="53"/>
      <c r="B20" s="1435" t="s">
        <v>244</v>
      </c>
      <c r="C20" s="1435"/>
      <c r="D20" s="23"/>
      <c r="E20" s="23"/>
      <c r="F20" s="137"/>
      <c r="G20" s="525"/>
    </row>
    <row r="21" spans="1:7" ht="12.75">
      <c r="A21" s="53"/>
      <c r="B21" s="551" t="s">
        <v>541</v>
      </c>
      <c r="C21" s="552">
        <v>1.2</v>
      </c>
      <c r="D21" s="1441">
        <f>(C21*C10*C11)/100</f>
        <v>5400</v>
      </c>
      <c r="E21" s="1442"/>
      <c r="F21" s="137"/>
      <c r="G21" s="525"/>
    </row>
    <row r="22" spans="1:7" ht="12.75">
      <c r="A22" s="53"/>
      <c r="B22" s="553" t="s">
        <v>539</v>
      </c>
      <c r="C22" s="554">
        <f>C21/C17</f>
        <v>0.06</v>
      </c>
      <c r="D22" s="1443">
        <f>(0.8*C10*C11)/100</f>
        <v>3600</v>
      </c>
      <c r="E22" s="1444"/>
      <c r="F22" s="137"/>
      <c r="G22" s="525"/>
    </row>
    <row r="23" spans="1:6" ht="12.75">
      <c r="A23" s="53"/>
      <c r="B23" s="553" t="s">
        <v>540</v>
      </c>
      <c r="C23" s="542">
        <f>(C5*1000)/(C17*C10*C11)</f>
        <v>0.26666666666666666</v>
      </c>
      <c r="D23" s="23"/>
      <c r="E23" s="23"/>
      <c r="F23" s="137"/>
    </row>
    <row r="24" spans="1:6" ht="14.25">
      <c r="A24" s="53"/>
      <c r="B24" s="553" t="s">
        <v>543</v>
      </c>
      <c r="C24" s="555">
        <v>0.11</v>
      </c>
      <c r="D24" s="23"/>
      <c r="E24" s="23"/>
      <c r="F24" s="137"/>
    </row>
    <row r="25" spans="1:6" ht="14.25">
      <c r="A25" s="53"/>
      <c r="B25" s="553" t="s">
        <v>542</v>
      </c>
      <c r="C25" s="555">
        <v>0.11</v>
      </c>
      <c r="D25" s="23"/>
      <c r="E25" s="23"/>
      <c r="F25" s="137"/>
    </row>
    <row r="26" spans="1:6" ht="12.75">
      <c r="A26" s="53"/>
      <c r="B26" s="539"/>
      <c r="C26" s="542"/>
      <c r="D26" s="23"/>
      <c r="E26" s="23"/>
      <c r="F26" s="137"/>
    </row>
    <row r="27" spans="1:6" ht="12.75">
      <c r="A27" s="53"/>
      <c r="B27" s="539" t="s">
        <v>544</v>
      </c>
      <c r="C27" s="556">
        <f>((0.45*C17*C10*C11)+(((0.75*C18)-(0.45*C17))*((C21/100)*C10*C11)))/1000</f>
        <v>5682.15</v>
      </c>
      <c r="D27" s="23"/>
      <c r="E27" s="23"/>
      <c r="F27" s="137"/>
    </row>
    <row r="28" spans="1:6" ht="15.75">
      <c r="A28" s="53"/>
      <c r="B28" s="539" t="s">
        <v>545</v>
      </c>
      <c r="C28" s="556">
        <f>(C24*C17*C10*C11^2)/1000000</f>
        <v>742.5</v>
      </c>
      <c r="D28" s="23"/>
      <c r="E28" s="23"/>
      <c r="F28" s="137"/>
    </row>
    <row r="29" spans="1:6" ht="15.75">
      <c r="A29" s="53"/>
      <c r="B29" s="539" t="s">
        <v>546</v>
      </c>
      <c r="C29" s="556">
        <f>(C25*C17*C11*C10^2)/1000000</f>
        <v>594.0000000000001</v>
      </c>
      <c r="D29" s="23"/>
      <c r="E29" s="23"/>
      <c r="F29" s="137"/>
    </row>
    <row r="30" spans="1:6" ht="12.75">
      <c r="A30" s="53"/>
      <c r="B30" s="539"/>
      <c r="C30" s="556"/>
      <c r="D30" s="23"/>
      <c r="E30" s="23"/>
      <c r="F30" s="137"/>
    </row>
    <row r="31" spans="1:8" ht="12.75">
      <c r="A31" s="53"/>
      <c r="B31" s="539" t="s">
        <v>547</v>
      </c>
      <c r="C31" s="542">
        <f>C5/C27</f>
        <v>0.42237533328053645</v>
      </c>
      <c r="D31" s="23"/>
      <c r="E31" s="23"/>
      <c r="F31" s="531"/>
      <c r="G31" s="526"/>
      <c r="H31" s="526"/>
    </row>
    <row r="32" spans="1:8" ht="15.75">
      <c r="A32" s="53"/>
      <c r="B32" s="539" t="s">
        <v>548</v>
      </c>
      <c r="C32" s="542">
        <f>C6/C28</f>
        <v>0.2585858585858586</v>
      </c>
      <c r="D32" s="23"/>
      <c r="E32" s="23"/>
      <c r="F32" s="532"/>
      <c r="G32" s="527"/>
      <c r="H32" s="527"/>
    </row>
    <row r="33" spans="1:6" ht="15.75">
      <c r="A33" s="53"/>
      <c r="B33" s="539" t="s">
        <v>549</v>
      </c>
      <c r="C33" s="542">
        <f>C7/C29</f>
        <v>0.8703703703703702</v>
      </c>
      <c r="D33" s="23"/>
      <c r="E33" s="23"/>
      <c r="F33" s="137"/>
    </row>
    <row r="34" spans="1:6" ht="19.5">
      <c r="A34" s="53"/>
      <c r="B34" s="557" t="s">
        <v>550</v>
      </c>
      <c r="C34" s="544">
        <f>IF(C31&lt;0.2,1,IF(C31&gt;0.8,2,(1+(((C31-0.2)/(0.8-0.2))*(2-1)))))</f>
        <v>1.3706255554675606</v>
      </c>
      <c r="D34" s="23"/>
      <c r="E34" s="23"/>
      <c r="F34" s="137"/>
    </row>
    <row r="35" spans="1:6" ht="12.75">
      <c r="A35" s="53"/>
      <c r="B35" s="23"/>
      <c r="C35" s="324"/>
      <c r="D35" s="23"/>
      <c r="E35" s="23"/>
      <c r="F35" s="533"/>
    </row>
    <row r="36" spans="1:6" ht="15">
      <c r="A36" s="53"/>
      <c r="B36" s="558" t="s">
        <v>554</v>
      </c>
      <c r="C36" s="559"/>
      <c r="D36" s="560">
        <f>((C32)^C34)+((C33)^C34)</f>
        <v>0.9833564804785071</v>
      </c>
      <c r="E36" s="23"/>
      <c r="F36" s="137"/>
    </row>
    <row r="37" spans="1:6" ht="12.75">
      <c r="A37" s="53"/>
      <c r="B37" s="23"/>
      <c r="C37" s="324"/>
      <c r="D37" s="23"/>
      <c r="E37" s="23"/>
      <c r="F37" s="137"/>
    </row>
    <row r="38" spans="1:6" ht="12.75">
      <c r="A38" s="53"/>
      <c r="B38" s="1439" t="str">
        <f>IF(D36&lt;1,"Steel Percentage OK","Revise the Section")</f>
        <v>Steel Percentage OK</v>
      </c>
      <c r="C38" s="1439"/>
      <c r="D38" s="1439"/>
      <c r="E38" s="23"/>
      <c r="F38" s="137"/>
    </row>
    <row r="39" spans="1:6" ht="12.75">
      <c r="A39" s="53"/>
      <c r="B39" s="23"/>
      <c r="C39" s="324"/>
      <c r="D39" s="23"/>
      <c r="E39" s="23"/>
      <c r="F39" s="137"/>
    </row>
    <row r="40" spans="1:6" ht="12.75">
      <c r="A40" s="53"/>
      <c r="B40" s="1435" t="s">
        <v>527</v>
      </c>
      <c r="C40" s="1435"/>
      <c r="D40" s="1435"/>
      <c r="E40" s="1435"/>
      <c r="F40" s="137"/>
    </row>
    <row r="41" spans="1:6" ht="12.75">
      <c r="A41" s="53"/>
      <c r="B41" s="199"/>
      <c r="C41" s="199" t="s">
        <v>43</v>
      </c>
      <c r="D41" s="199" t="s">
        <v>42</v>
      </c>
      <c r="E41" s="199" t="s">
        <v>44</v>
      </c>
      <c r="F41" s="137"/>
    </row>
    <row r="42" spans="1:6" ht="13.5" customHeight="1">
      <c r="A42" s="53"/>
      <c r="B42" s="199" t="s">
        <v>246</v>
      </c>
      <c r="C42" s="209">
        <v>4</v>
      </c>
      <c r="D42" s="190">
        <v>20</v>
      </c>
      <c r="E42" s="207">
        <f>IF(D42="","",(((PI()/4)*D42*D42)*C42))</f>
        <v>1256.6370614359173</v>
      </c>
      <c r="F42" s="137"/>
    </row>
    <row r="43" spans="1:6" ht="12.75">
      <c r="A43" s="53"/>
      <c r="B43" s="199" t="s">
        <v>247</v>
      </c>
      <c r="C43" s="209">
        <v>8</v>
      </c>
      <c r="D43" s="190">
        <v>16</v>
      </c>
      <c r="E43" s="207">
        <f>IF(C43="","",(((PI()/4)*D43*D43)*C43))</f>
        <v>1608.495438637974</v>
      </c>
      <c r="F43" s="137"/>
    </row>
    <row r="44" spans="1:6" ht="12.75">
      <c r="A44" s="53"/>
      <c r="B44" s="436" t="s">
        <v>528</v>
      </c>
      <c r="C44" s="210">
        <f>C42+C43</f>
        <v>12</v>
      </c>
      <c r="D44" s="436" t="s">
        <v>32</v>
      </c>
      <c r="E44" s="207">
        <f>IF(E43="",E42,E42+E43)</f>
        <v>2865.1325000738916</v>
      </c>
      <c r="F44" s="137"/>
    </row>
    <row r="45" spans="1:6" ht="12.75">
      <c r="A45" s="53"/>
      <c r="B45" s="561" t="s">
        <v>529</v>
      </c>
      <c r="C45" s="1436">
        <f>(E44/(C10*C11))</f>
        <v>0.0063669611112753145</v>
      </c>
      <c r="D45" s="1437"/>
      <c r="E45" s="1438"/>
      <c r="F45" s="137"/>
    </row>
    <row r="46" spans="1:6" ht="12.75">
      <c r="A46" s="29"/>
      <c r="B46" s="30"/>
      <c r="C46" s="522"/>
      <c r="D46" s="30"/>
      <c r="E46" s="30"/>
      <c r="F46" s="140"/>
    </row>
  </sheetData>
  <sheetProtection/>
  <protectedRanges>
    <protectedRange sqref="D42:D43" name="Inputs_2_1"/>
    <protectedRange sqref="C17" name="Inputs"/>
    <protectedRange sqref="C18" name="Inputs_1"/>
  </protectedRanges>
  <mergeCells count="10">
    <mergeCell ref="A2:F2"/>
    <mergeCell ref="B40:E40"/>
    <mergeCell ref="C45:E45"/>
    <mergeCell ref="B38:D38"/>
    <mergeCell ref="B9:C9"/>
    <mergeCell ref="B4:C4"/>
    <mergeCell ref="B16:C16"/>
    <mergeCell ref="B20:C20"/>
    <mergeCell ref="D21:E21"/>
    <mergeCell ref="D22:E22"/>
  </mergeCells>
  <dataValidations count="3">
    <dataValidation type="list" showInputMessage="1" showErrorMessage="1" sqref="D42:D43">
      <formula1>"0,12,16,20,25"</formula1>
    </dataValidation>
    <dataValidation type="list" allowBlank="1" showInputMessage="1" showErrorMessage="1" sqref="C17">
      <formula1>"15,20,25,30"</formula1>
    </dataValidation>
    <dataValidation type="list" allowBlank="1" showInputMessage="1" showErrorMessage="1" sqref="C18">
      <formula1>"250,415,500"</formula1>
    </dataValidation>
  </dataValidations>
  <printOptions horizontalCentered="1"/>
  <pageMargins left="0.95" right="0.45" top="0.25" bottom="0.25" header="0" footer="0"/>
  <pageSetup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4:J16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9.140625" style="751" customWidth="1"/>
    <col min="2" max="2" width="18.8515625" style="751" customWidth="1"/>
    <col min="3" max="3" width="3.421875" style="751" customWidth="1"/>
    <col min="4" max="4" width="20.8515625" style="751" customWidth="1"/>
    <col min="5" max="5" width="3.421875" style="751" customWidth="1"/>
    <col min="6" max="6" width="21.7109375" style="751" customWidth="1"/>
    <col min="7" max="7" width="3.28125" style="751" customWidth="1"/>
    <col min="8" max="8" width="15.8515625" style="751" customWidth="1"/>
    <col min="9" max="9" width="3.7109375" style="751" customWidth="1"/>
    <col min="10" max="10" width="16.00390625" style="751" customWidth="1"/>
    <col min="11" max="16384" width="9.140625" style="751" customWidth="1"/>
  </cols>
  <sheetData>
    <row r="4" spans="2:10" ht="15.75">
      <c r="B4" s="1449" t="s">
        <v>966</v>
      </c>
      <c r="C4" s="1450"/>
      <c r="D4" s="1450"/>
      <c r="E4" s="1450"/>
      <c r="F4" s="1450"/>
      <c r="G4" s="1450"/>
      <c r="H4" s="1450"/>
      <c r="I4" s="1450"/>
      <c r="J4" s="1451"/>
    </row>
    <row r="6" spans="2:10" ht="28.5" customHeight="1">
      <c r="B6" s="1448"/>
      <c r="C6" s="1448"/>
      <c r="D6" s="758" t="s">
        <v>766</v>
      </c>
      <c r="E6" s="1445"/>
      <c r="F6" s="758" t="s">
        <v>769</v>
      </c>
      <c r="G6" s="1445"/>
      <c r="H6" s="758" t="s">
        <v>767</v>
      </c>
      <c r="I6" s="1445"/>
      <c r="J6" s="758" t="s">
        <v>768</v>
      </c>
    </row>
    <row r="7" spans="2:10" ht="12.75">
      <c r="B7" s="753" t="s">
        <v>34</v>
      </c>
      <c r="C7" s="753" t="s">
        <v>237</v>
      </c>
      <c r="D7" s="754">
        <v>8</v>
      </c>
      <c r="E7" s="1445"/>
      <c r="F7" s="754">
        <v>70</v>
      </c>
      <c r="G7" s="1445"/>
      <c r="H7" s="754">
        <v>1400</v>
      </c>
      <c r="I7" s="1445"/>
      <c r="J7" s="754">
        <v>10</v>
      </c>
    </row>
    <row r="8" spans="2:10" ht="12.75">
      <c r="B8" s="753" t="s">
        <v>761</v>
      </c>
      <c r="C8" s="753" t="s">
        <v>46</v>
      </c>
      <c r="D8" s="752">
        <v>2.6</v>
      </c>
      <c r="E8" s="1445"/>
      <c r="F8" s="752">
        <v>3</v>
      </c>
      <c r="G8" s="1445"/>
      <c r="H8" s="752">
        <v>3.8</v>
      </c>
      <c r="I8" s="1445"/>
      <c r="J8" s="752">
        <v>5</v>
      </c>
    </row>
    <row r="9" spans="2:10" ht="38.25">
      <c r="B9" s="755" t="s">
        <v>775</v>
      </c>
      <c r="C9" s="753" t="s">
        <v>762</v>
      </c>
      <c r="D9" s="750">
        <v>22000000</v>
      </c>
      <c r="E9" s="1445"/>
      <c r="F9" s="750">
        <v>22000000</v>
      </c>
      <c r="G9" s="1445"/>
      <c r="H9" s="750">
        <v>22000000</v>
      </c>
      <c r="I9" s="1445"/>
      <c r="J9" s="750">
        <v>22000000</v>
      </c>
    </row>
    <row r="10" spans="2:10" ht="12.75">
      <c r="B10" s="756" t="s">
        <v>763</v>
      </c>
      <c r="C10" s="756" t="s">
        <v>0</v>
      </c>
      <c r="D10" s="752">
        <v>0.2</v>
      </c>
      <c r="E10" s="1445"/>
      <c r="F10" s="752">
        <v>0.2</v>
      </c>
      <c r="G10" s="1445"/>
      <c r="H10" s="752">
        <v>1.5</v>
      </c>
      <c r="I10" s="1445"/>
      <c r="J10" s="752">
        <v>0.2</v>
      </c>
    </row>
    <row r="11" spans="2:10" ht="12.75">
      <c r="B11" s="756" t="s">
        <v>764</v>
      </c>
      <c r="C11" s="756" t="s">
        <v>37</v>
      </c>
      <c r="D11" s="752">
        <v>0.45</v>
      </c>
      <c r="E11" s="1445"/>
      <c r="F11" s="752">
        <v>0.6</v>
      </c>
      <c r="G11" s="1445"/>
      <c r="H11" s="752">
        <v>1.1</v>
      </c>
      <c r="I11" s="1445"/>
      <c r="J11" s="752">
        <v>0.6</v>
      </c>
    </row>
    <row r="12" spans="2:10" ht="12.75">
      <c r="B12" s="756" t="s">
        <v>1</v>
      </c>
      <c r="C12" s="756" t="s">
        <v>878</v>
      </c>
      <c r="D12" s="961">
        <f>((D7+(25*D10*D11))*D8^2)/8</f>
        <v>8.66125</v>
      </c>
      <c r="E12" s="1445"/>
      <c r="F12" s="752">
        <f>((F7+(25*F10*F11))*F8^2)/8</f>
        <v>82.125</v>
      </c>
      <c r="G12" s="1445"/>
      <c r="H12" s="752">
        <f>((H7+(25*H10*H11))*H8^2)/8</f>
        <v>2601.4562499999997</v>
      </c>
      <c r="I12" s="1445"/>
      <c r="J12" s="752">
        <f>((J7+(25*J10*J11))*J8^2)/8</f>
        <v>40.625</v>
      </c>
    </row>
    <row r="13" spans="2:10" ht="12.75">
      <c r="B13" s="756" t="s">
        <v>879</v>
      </c>
      <c r="C13" s="756" t="s">
        <v>222</v>
      </c>
      <c r="D13" s="961">
        <f>((D7+(25*D10*D11))*D8)/2</f>
        <v>13.325000000000001</v>
      </c>
      <c r="E13" s="1445"/>
      <c r="F13" s="752">
        <f>((F7+(25*F10*F11))*F8)/2</f>
        <v>109.5</v>
      </c>
      <c r="G13" s="1445"/>
      <c r="H13" s="752">
        <f>((H7+(25*H10*H11))*H8)/2</f>
        <v>2738.375</v>
      </c>
      <c r="I13" s="1445"/>
      <c r="J13" s="752">
        <f>((J7+(25*J10*J11))*J8)/2</f>
        <v>32.5</v>
      </c>
    </row>
    <row r="14" spans="2:10" ht="27">
      <c r="B14" s="755" t="s">
        <v>776</v>
      </c>
      <c r="C14" s="753" t="s">
        <v>765</v>
      </c>
      <c r="D14" s="757">
        <f>(D10*D11^3)/12</f>
        <v>0.0015187500000000001</v>
      </c>
      <c r="E14" s="1445"/>
      <c r="F14" s="757">
        <f>(F10*F11^3)/12</f>
        <v>0.0036000000000000003</v>
      </c>
      <c r="G14" s="1445"/>
      <c r="H14" s="757">
        <f>(H10*H11^3)/12</f>
        <v>0.16637500000000005</v>
      </c>
      <c r="I14" s="1445"/>
      <c r="J14" s="757">
        <f>(J10*J11^3)/12</f>
        <v>0.0036000000000000003</v>
      </c>
    </row>
    <row r="15" spans="2:10" ht="12.75">
      <c r="B15" s="756" t="s">
        <v>743</v>
      </c>
      <c r="C15" s="1446" t="s">
        <v>777</v>
      </c>
      <c r="D15" s="759">
        <f>((5/384)*((D7*D8^4)/(D9*D14)))*1000</f>
        <v>0.142466641725901</v>
      </c>
      <c r="E15" s="1445"/>
      <c r="F15" s="759">
        <f>((1/48)*((F7*F8^3)/(F9*F14)))*1000</f>
        <v>0.4971590909090908</v>
      </c>
      <c r="G15" s="1445"/>
      <c r="H15" s="759">
        <f>(1/8)*((H7*H8^4)/(H9*H14))*1000</f>
        <v>9.96923160986271</v>
      </c>
      <c r="I15" s="1445"/>
      <c r="J15" s="759">
        <f>(1/3)*((J7*J8^3)/(J9*J14))*1000</f>
        <v>5.2609427609427595</v>
      </c>
    </row>
    <row r="16" spans="2:10" ht="14.25">
      <c r="B16" s="760" t="s">
        <v>774</v>
      </c>
      <c r="C16" s="1447"/>
      <c r="D16" s="756" t="s">
        <v>770</v>
      </c>
      <c r="E16" s="1445"/>
      <c r="F16" s="756" t="s">
        <v>773</v>
      </c>
      <c r="G16" s="1445"/>
      <c r="H16" s="756" t="s">
        <v>772</v>
      </c>
      <c r="I16" s="1445"/>
      <c r="J16" s="756" t="s">
        <v>771</v>
      </c>
    </row>
  </sheetData>
  <sheetProtection/>
  <mergeCells count="6">
    <mergeCell ref="E6:E16"/>
    <mergeCell ref="G6:G16"/>
    <mergeCell ref="I6:I16"/>
    <mergeCell ref="C15:C16"/>
    <mergeCell ref="B6:C6"/>
    <mergeCell ref="B4:J4"/>
  </mergeCells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6"/>
  <sheetViews>
    <sheetView zoomScale="85" zoomScaleNormal="85" zoomScalePageLayoutView="0" workbookViewId="0" topLeftCell="A1">
      <selection activeCell="B7" sqref="B7:B8"/>
    </sheetView>
  </sheetViews>
  <sheetFormatPr defaultColWidth="9.140625" defaultRowHeight="12.75"/>
  <cols>
    <col min="1" max="4" width="7.7109375" style="393" customWidth="1"/>
    <col min="5" max="5" width="13.421875" style="393" customWidth="1"/>
    <col min="6" max="8" width="7.7109375" style="393" customWidth="1"/>
    <col min="9" max="9" width="13.421875" style="393" customWidth="1"/>
    <col min="10" max="12" width="7.7109375" style="393" customWidth="1"/>
    <col min="13" max="13" width="13.421875" style="393" customWidth="1"/>
    <col min="14" max="16" width="7.7109375" style="393" customWidth="1"/>
    <col min="17" max="17" width="13.421875" style="393" customWidth="1"/>
    <col min="18" max="16384" width="9.140625" style="393" customWidth="1"/>
  </cols>
  <sheetData>
    <row r="1" spans="1:17" ht="24.75" customHeight="1">
      <c r="A1" s="1455" t="s">
        <v>871</v>
      </c>
      <c r="B1" s="1452" t="s">
        <v>872</v>
      </c>
      <c r="C1" s="1452"/>
      <c r="D1" s="1452"/>
      <c r="E1" s="1452"/>
      <c r="F1" s="1452" t="s">
        <v>873</v>
      </c>
      <c r="G1" s="1452"/>
      <c r="H1" s="1452"/>
      <c r="I1" s="1452"/>
      <c r="J1" s="1452" t="s">
        <v>874</v>
      </c>
      <c r="K1" s="1452"/>
      <c r="L1" s="1452"/>
      <c r="M1" s="1452"/>
      <c r="N1" s="1452" t="s">
        <v>875</v>
      </c>
      <c r="O1" s="1452"/>
      <c r="P1" s="1452"/>
      <c r="Q1" s="1452"/>
    </row>
    <row r="2" spans="1:17" ht="37.5" customHeight="1">
      <c r="A2" s="1456"/>
      <c r="B2" s="1042" t="s">
        <v>876</v>
      </c>
      <c r="C2" s="996" t="s">
        <v>747</v>
      </c>
      <c r="D2" s="1042" t="s">
        <v>877</v>
      </c>
      <c r="E2" s="996" t="s">
        <v>25</v>
      </c>
      <c r="F2" s="1042" t="s">
        <v>876</v>
      </c>
      <c r="G2" s="996" t="s">
        <v>747</v>
      </c>
      <c r="H2" s="1042" t="s">
        <v>877</v>
      </c>
      <c r="I2" s="996" t="s">
        <v>25</v>
      </c>
      <c r="J2" s="1042" t="s">
        <v>876</v>
      </c>
      <c r="K2" s="996" t="s">
        <v>747</v>
      </c>
      <c r="L2" s="1042" t="s">
        <v>877</v>
      </c>
      <c r="M2" s="996" t="s">
        <v>25</v>
      </c>
      <c r="N2" s="1042" t="s">
        <v>876</v>
      </c>
      <c r="O2" s="996" t="s">
        <v>747</v>
      </c>
      <c r="P2" s="1042" t="s">
        <v>877</v>
      </c>
      <c r="Q2" s="996" t="s">
        <v>25</v>
      </c>
    </row>
    <row r="3" spans="1:17" ht="24.75" customHeight="1">
      <c r="A3" s="1455">
        <v>3</v>
      </c>
      <c r="B3" s="1453">
        <v>16</v>
      </c>
      <c r="C3" s="1453">
        <v>1.45</v>
      </c>
      <c r="D3" s="1453">
        <v>465</v>
      </c>
      <c r="E3" s="1040">
        <v>243</v>
      </c>
      <c r="F3" s="1453">
        <v>17</v>
      </c>
      <c r="G3" s="1453">
        <v>1.01</v>
      </c>
      <c r="H3" s="1453">
        <v>386</v>
      </c>
      <c r="I3" s="1040">
        <v>293</v>
      </c>
      <c r="J3" s="1453">
        <v>18</v>
      </c>
      <c r="K3" s="1453">
        <v>0.75</v>
      </c>
      <c r="L3" s="1453">
        <v>337</v>
      </c>
      <c r="M3" s="1040">
        <v>336</v>
      </c>
      <c r="N3" s="1453">
        <v>19</v>
      </c>
      <c r="O3" s="1453">
        <v>0.59</v>
      </c>
      <c r="P3" s="1453">
        <v>369</v>
      </c>
      <c r="Q3" s="1040">
        <v>306</v>
      </c>
    </row>
    <row r="4" spans="1:17" ht="24.75" customHeight="1">
      <c r="A4" s="1456"/>
      <c r="B4" s="1454"/>
      <c r="C4" s="1454"/>
      <c r="D4" s="1454"/>
      <c r="E4" s="1041">
        <v>432</v>
      </c>
      <c r="F4" s="1454"/>
      <c r="G4" s="1454"/>
      <c r="H4" s="1454"/>
      <c r="I4" s="1041">
        <v>521</v>
      </c>
      <c r="J4" s="1454"/>
      <c r="K4" s="1454"/>
      <c r="L4" s="1454"/>
      <c r="M4" s="1041">
        <v>597</v>
      </c>
      <c r="N4" s="1454"/>
      <c r="O4" s="1454"/>
      <c r="P4" s="1454"/>
      <c r="Q4" s="1041">
        <v>546</v>
      </c>
    </row>
    <row r="5" spans="1:17" ht="24.75" customHeight="1">
      <c r="A5" s="1455">
        <v>3.5</v>
      </c>
      <c r="B5" s="1453">
        <v>22</v>
      </c>
      <c r="C5" s="1453">
        <v>2</v>
      </c>
      <c r="D5" s="1453">
        <v>669</v>
      </c>
      <c r="E5" s="1040">
        <v>169</v>
      </c>
      <c r="F5" s="1453">
        <v>23</v>
      </c>
      <c r="G5" s="1453">
        <v>1.36</v>
      </c>
      <c r="H5" s="1453">
        <v>536</v>
      </c>
      <c r="I5" s="1040">
        <v>211</v>
      </c>
      <c r="J5" s="1453">
        <v>25</v>
      </c>
      <c r="K5" s="1453">
        <v>1.04</v>
      </c>
      <c r="L5" s="1453">
        <v>447</v>
      </c>
      <c r="M5" s="1040">
        <v>253</v>
      </c>
      <c r="N5" s="1453">
        <v>26</v>
      </c>
      <c r="O5" s="1453">
        <v>0.8</v>
      </c>
      <c r="P5" s="1453">
        <v>421</v>
      </c>
      <c r="Q5" s="1040">
        <v>269</v>
      </c>
    </row>
    <row r="6" spans="1:17" ht="24.75" customHeight="1">
      <c r="A6" s="1456">
        <v>3.5</v>
      </c>
      <c r="B6" s="1454"/>
      <c r="C6" s="1454"/>
      <c r="D6" s="1454"/>
      <c r="E6" s="1041">
        <v>301</v>
      </c>
      <c r="F6" s="1454"/>
      <c r="G6" s="1454"/>
      <c r="H6" s="1454"/>
      <c r="I6" s="1041">
        <v>375</v>
      </c>
      <c r="J6" s="1454"/>
      <c r="K6" s="1454"/>
      <c r="L6" s="1454"/>
      <c r="M6" s="1041">
        <v>450</v>
      </c>
      <c r="N6" s="1454"/>
      <c r="O6" s="1454"/>
      <c r="P6" s="1454"/>
      <c r="Q6" s="1041">
        <v>479</v>
      </c>
    </row>
    <row r="7" spans="1:17" ht="24.75" customHeight="1">
      <c r="A7" s="1455">
        <v>4</v>
      </c>
      <c r="B7" s="1453">
        <v>28</v>
      </c>
      <c r="C7" s="1453">
        <v>2.54</v>
      </c>
      <c r="D7" s="1453">
        <v>899</v>
      </c>
      <c r="E7" s="1040">
        <v>126</v>
      </c>
      <c r="F7" s="1453">
        <v>30</v>
      </c>
      <c r="G7" s="1453">
        <v>1.78</v>
      </c>
      <c r="H7" s="1453">
        <v>723</v>
      </c>
      <c r="I7" s="1040">
        <v>156</v>
      </c>
      <c r="J7" s="1453">
        <v>32</v>
      </c>
      <c r="K7" s="1453">
        <v>1.33</v>
      </c>
      <c r="L7" s="1453">
        <v>624</v>
      </c>
      <c r="M7" s="1040">
        <v>181</v>
      </c>
      <c r="N7" s="1453">
        <v>34</v>
      </c>
      <c r="O7" s="1453">
        <v>1.05</v>
      </c>
      <c r="P7" s="1453">
        <v>559</v>
      </c>
      <c r="Q7" s="1040">
        <v>202</v>
      </c>
    </row>
    <row r="8" spans="1:17" ht="24.75" customHeight="1">
      <c r="A8" s="1456">
        <v>4</v>
      </c>
      <c r="B8" s="1454"/>
      <c r="C8" s="1454"/>
      <c r="D8" s="1454"/>
      <c r="E8" s="1041">
        <v>224</v>
      </c>
      <c r="F8" s="1454"/>
      <c r="G8" s="1454"/>
      <c r="H8" s="1454"/>
      <c r="I8" s="1041">
        <v>278</v>
      </c>
      <c r="J8" s="1454"/>
      <c r="K8" s="1454"/>
      <c r="L8" s="1454"/>
      <c r="M8" s="1041">
        <v>322</v>
      </c>
      <c r="N8" s="1454"/>
      <c r="O8" s="1454"/>
      <c r="P8" s="1454"/>
      <c r="Q8" s="1041">
        <v>360</v>
      </c>
    </row>
    <row r="9" spans="1:17" ht="24.75" customHeight="1">
      <c r="A9" s="1455">
        <v>4.5</v>
      </c>
      <c r="B9" s="1457"/>
      <c r="C9" s="1458"/>
      <c r="D9" s="1458"/>
      <c r="E9" s="1459"/>
      <c r="F9" s="1453">
        <v>38</v>
      </c>
      <c r="G9" s="1453">
        <v>2.25</v>
      </c>
      <c r="H9" s="1453">
        <v>956</v>
      </c>
      <c r="I9" s="1040">
        <v>118</v>
      </c>
      <c r="J9" s="1453">
        <v>41</v>
      </c>
      <c r="K9" s="1453">
        <v>1.71</v>
      </c>
      <c r="L9" s="1453">
        <v>824</v>
      </c>
      <c r="M9" s="1040">
        <v>137</v>
      </c>
      <c r="N9" s="1453">
        <v>44</v>
      </c>
      <c r="O9" s="1453">
        <v>1.36</v>
      </c>
      <c r="P9" s="1453">
        <v>741</v>
      </c>
      <c r="Q9" s="1040">
        <v>153</v>
      </c>
    </row>
    <row r="10" spans="1:17" ht="24.75" customHeight="1">
      <c r="A10" s="1456">
        <v>4.5</v>
      </c>
      <c r="B10" s="1460"/>
      <c r="C10" s="1461"/>
      <c r="D10" s="1461"/>
      <c r="E10" s="1462"/>
      <c r="F10" s="1454"/>
      <c r="G10" s="1454"/>
      <c r="H10" s="1454"/>
      <c r="I10" s="1041">
        <v>210</v>
      </c>
      <c r="J10" s="1454"/>
      <c r="K10" s="1454"/>
      <c r="L10" s="1454"/>
      <c r="M10" s="1041">
        <v>244</v>
      </c>
      <c r="N10" s="1454"/>
      <c r="O10" s="1454"/>
      <c r="P10" s="1454"/>
      <c r="Q10" s="1041">
        <v>271</v>
      </c>
    </row>
    <row r="11" spans="1:17" ht="24.75" customHeight="1">
      <c r="A11" s="1455">
        <v>5</v>
      </c>
      <c r="B11" s="1460"/>
      <c r="C11" s="1461"/>
      <c r="D11" s="1461"/>
      <c r="E11" s="1462"/>
      <c r="F11" s="1457"/>
      <c r="G11" s="1458"/>
      <c r="H11" s="1458"/>
      <c r="I11" s="1459"/>
      <c r="J11" s="1453">
        <v>50</v>
      </c>
      <c r="K11" s="1453">
        <v>2.08</v>
      </c>
      <c r="L11" s="1453">
        <v>1039</v>
      </c>
      <c r="M11" s="1040">
        <v>109</v>
      </c>
      <c r="N11" s="1453">
        <v>54</v>
      </c>
      <c r="O11" s="1453">
        <v>1.67</v>
      </c>
      <c r="P11" s="1453">
        <v>931</v>
      </c>
      <c r="Q11" s="1040">
        <v>121</v>
      </c>
    </row>
    <row r="12" spans="1:17" ht="24.75" customHeight="1">
      <c r="A12" s="1456">
        <v>5</v>
      </c>
      <c r="B12" s="1460"/>
      <c r="C12" s="1461"/>
      <c r="D12" s="1461"/>
      <c r="E12" s="1462"/>
      <c r="F12" s="1460"/>
      <c r="G12" s="1461"/>
      <c r="H12" s="1461"/>
      <c r="I12" s="1462"/>
      <c r="J12" s="1454"/>
      <c r="K12" s="1454"/>
      <c r="L12" s="1454"/>
      <c r="M12" s="1041">
        <v>194</v>
      </c>
      <c r="N12" s="1454"/>
      <c r="O12" s="1454"/>
      <c r="P12" s="1454"/>
      <c r="Q12" s="1041">
        <v>216</v>
      </c>
    </row>
    <row r="13" spans="1:17" ht="24.75" customHeight="1">
      <c r="A13" s="1455">
        <v>5.5</v>
      </c>
      <c r="B13" s="1460"/>
      <c r="C13" s="1461"/>
      <c r="D13" s="1461"/>
      <c r="E13" s="1462"/>
      <c r="F13" s="1460"/>
      <c r="G13" s="1461"/>
      <c r="H13" s="1461"/>
      <c r="I13" s="1462"/>
      <c r="J13" s="1453">
        <v>61</v>
      </c>
      <c r="K13" s="1453">
        <v>2.54</v>
      </c>
      <c r="L13" s="1453">
        <v>1327</v>
      </c>
      <c r="M13" s="1040">
        <v>85</v>
      </c>
      <c r="N13" s="1453">
        <v>65</v>
      </c>
      <c r="O13" s="1453">
        <v>2.01</v>
      </c>
      <c r="P13" s="1453">
        <v>1155</v>
      </c>
      <c r="Q13" s="1040">
        <v>98</v>
      </c>
    </row>
    <row r="14" spans="1:17" ht="24.75" customHeight="1">
      <c r="A14" s="1456">
        <v>5.5</v>
      </c>
      <c r="B14" s="1460"/>
      <c r="C14" s="1461"/>
      <c r="D14" s="1461"/>
      <c r="E14" s="1462"/>
      <c r="F14" s="1460"/>
      <c r="G14" s="1461"/>
      <c r="H14" s="1461"/>
      <c r="I14" s="1462"/>
      <c r="J14" s="1454"/>
      <c r="K14" s="1454"/>
      <c r="L14" s="1454"/>
      <c r="M14" s="1041">
        <v>152</v>
      </c>
      <c r="N14" s="1454"/>
      <c r="O14" s="1454"/>
      <c r="P14" s="1454"/>
      <c r="Q14" s="1041">
        <v>174</v>
      </c>
    </row>
    <row r="15" spans="1:17" ht="24.75" customHeight="1">
      <c r="A15" s="1455">
        <v>6</v>
      </c>
      <c r="B15" s="1460"/>
      <c r="C15" s="1461"/>
      <c r="D15" s="1461"/>
      <c r="E15" s="1462"/>
      <c r="F15" s="1460"/>
      <c r="G15" s="1461"/>
      <c r="H15" s="1461"/>
      <c r="I15" s="1462"/>
      <c r="J15" s="1457"/>
      <c r="K15" s="1458"/>
      <c r="L15" s="1458"/>
      <c r="M15" s="1459"/>
      <c r="N15" s="1453">
        <v>77</v>
      </c>
      <c r="O15" s="1453">
        <v>2.38</v>
      </c>
      <c r="P15" s="1453">
        <v>1418</v>
      </c>
      <c r="Q15" s="1040">
        <v>80</v>
      </c>
    </row>
    <row r="16" spans="1:17" ht="24.75" customHeight="1">
      <c r="A16" s="1456"/>
      <c r="B16" s="1463"/>
      <c r="C16" s="1464"/>
      <c r="D16" s="1464"/>
      <c r="E16" s="1465"/>
      <c r="F16" s="1463"/>
      <c r="G16" s="1464"/>
      <c r="H16" s="1464"/>
      <c r="I16" s="1465"/>
      <c r="J16" s="1463"/>
      <c r="K16" s="1464"/>
      <c r="L16" s="1464"/>
      <c r="M16" s="1465"/>
      <c r="N16" s="1454"/>
      <c r="O16" s="1454"/>
      <c r="P16" s="1454"/>
      <c r="Q16" s="1041">
        <v>142</v>
      </c>
    </row>
  </sheetData>
  <sheetProtection/>
  <mergeCells count="75">
    <mergeCell ref="P9:P10"/>
    <mergeCell ref="P11:P12"/>
    <mergeCell ref="O11:O12"/>
    <mergeCell ref="N13:N14"/>
    <mergeCell ref="P13:P14"/>
    <mergeCell ref="N9:N10"/>
    <mergeCell ref="P15:P16"/>
    <mergeCell ref="A1:A2"/>
    <mergeCell ref="B9:E16"/>
    <mergeCell ref="F11:I16"/>
    <mergeCell ref="J15:M16"/>
    <mergeCell ref="P3:P4"/>
    <mergeCell ref="P5:P6"/>
    <mergeCell ref="P7:P8"/>
    <mergeCell ref="F7:F8"/>
    <mergeCell ref="G7:G8"/>
    <mergeCell ref="L3:L4"/>
    <mergeCell ref="L5:L6"/>
    <mergeCell ref="L7:L8"/>
    <mergeCell ref="L9:L10"/>
    <mergeCell ref="L11:L12"/>
    <mergeCell ref="O9:O10"/>
    <mergeCell ref="K11:K12"/>
    <mergeCell ref="K5:K6"/>
    <mergeCell ref="J7:J8"/>
    <mergeCell ref="K7:K8"/>
    <mergeCell ref="J3:J4"/>
    <mergeCell ref="K3:K4"/>
    <mergeCell ref="O15:O16"/>
    <mergeCell ref="N3:N4"/>
    <mergeCell ref="O3:O4"/>
    <mergeCell ref="N5:N6"/>
    <mergeCell ref="O5:O6"/>
    <mergeCell ref="N7:N8"/>
    <mergeCell ref="O13:O14"/>
    <mergeCell ref="N11:N12"/>
    <mergeCell ref="O7:O8"/>
    <mergeCell ref="N15:N16"/>
    <mergeCell ref="L13:L14"/>
    <mergeCell ref="J5:J6"/>
    <mergeCell ref="A9:A10"/>
    <mergeCell ref="J9:J10"/>
    <mergeCell ref="B5:B6"/>
    <mergeCell ref="C5:C6"/>
    <mergeCell ref="B7:B8"/>
    <mergeCell ref="K9:K10"/>
    <mergeCell ref="J11:J12"/>
    <mergeCell ref="F9:F10"/>
    <mergeCell ref="G9:G10"/>
    <mergeCell ref="A13:A14"/>
    <mergeCell ref="J13:J14"/>
    <mergeCell ref="K13:K14"/>
    <mergeCell ref="G3:G4"/>
    <mergeCell ref="D3:D4"/>
    <mergeCell ref="H3:H4"/>
    <mergeCell ref="H5:H6"/>
    <mergeCell ref="H7:H8"/>
    <mergeCell ref="H9:H10"/>
    <mergeCell ref="A15:A16"/>
    <mergeCell ref="B1:E1"/>
    <mergeCell ref="A5:A6"/>
    <mergeCell ref="A7:A8"/>
    <mergeCell ref="D5:D6"/>
    <mergeCell ref="D7:D8"/>
    <mergeCell ref="C7:C8"/>
    <mergeCell ref="F1:I1"/>
    <mergeCell ref="J1:M1"/>
    <mergeCell ref="F5:F6"/>
    <mergeCell ref="G5:G6"/>
    <mergeCell ref="A11:A12"/>
    <mergeCell ref="N1:Q1"/>
    <mergeCell ref="A3:A4"/>
    <mergeCell ref="B3:B4"/>
    <mergeCell ref="C3:C4"/>
    <mergeCell ref="F3:F4"/>
  </mergeCells>
  <printOptions horizontalCentered="1" verticalCentered="1"/>
  <pageMargins left="0.7" right="0.2" top="0.75" bottom="0.75" header="0.3" footer="0.3"/>
  <pageSetup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X161"/>
  <sheetViews>
    <sheetView zoomScalePageLayoutView="0" workbookViewId="0" topLeftCell="A25">
      <selection activeCell="J43" sqref="J43"/>
    </sheetView>
  </sheetViews>
  <sheetFormatPr defaultColWidth="9.140625" defaultRowHeight="12.75"/>
  <cols>
    <col min="1" max="1" width="9.140625" style="43" customWidth="1"/>
    <col min="2" max="2" width="3.28125" style="43" customWidth="1"/>
    <col min="3" max="3" width="3.00390625" style="216" bestFit="1" customWidth="1"/>
    <col min="4" max="4" width="4.7109375" style="524" customWidth="1"/>
    <col min="5" max="5" width="27.00390625" style="43" customWidth="1"/>
    <col min="6" max="6" width="18.140625" style="524" customWidth="1"/>
    <col min="7" max="7" width="19.00390625" style="524" customWidth="1"/>
    <col min="8" max="8" width="16.8515625" style="43" customWidth="1"/>
    <col min="9" max="9" width="12.421875" style="43" customWidth="1"/>
    <col min="10" max="10" width="13.57421875" style="43" customWidth="1"/>
    <col min="11" max="11" width="4.7109375" style="43" customWidth="1"/>
    <col min="12" max="16384" width="9.140625" style="43" customWidth="1"/>
  </cols>
  <sheetData>
    <row r="1" ht="13.5" thickBot="1"/>
    <row r="2" spans="2:11" ht="13.5" thickBot="1">
      <c r="B2" s="957"/>
      <c r="C2" s="596"/>
      <c r="D2" s="958"/>
      <c r="E2" s="959"/>
      <c r="F2" s="958"/>
      <c r="G2" s="958"/>
      <c r="H2" s="959"/>
      <c r="I2" s="959"/>
      <c r="J2" s="959"/>
      <c r="K2" s="960"/>
    </row>
    <row r="3" spans="2:24" s="280" customFormat="1" ht="16.5" thickBot="1">
      <c r="B3" s="1485" t="s">
        <v>653</v>
      </c>
      <c r="C3" s="1486"/>
      <c r="D3" s="1486"/>
      <c r="E3" s="1486"/>
      <c r="F3" s="1486"/>
      <c r="G3" s="1486"/>
      <c r="H3" s="1486"/>
      <c r="I3" s="1486"/>
      <c r="J3" s="1486"/>
      <c r="K3" s="1487"/>
      <c r="L3" s="286"/>
      <c r="O3" s="309"/>
      <c r="P3" s="309"/>
      <c r="Q3" s="309"/>
      <c r="R3" s="309"/>
      <c r="S3" s="309"/>
      <c r="T3" s="309"/>
      <c r="U3" s="309"/>
      <c r="V3" s="309"/>
      <c r="W3" s="309"/>
      <c r="X3" s="309"/>
    </row>
    <row r="4" spans="2:24" s="280" customFormat="1" ht="13.5" thickBot="1">
      <c r="B4" s="597"/>
      <c r="C4" s="587"/>
      <c r="D4" s="584"/>
      <c r="E4" s="585"/>
      <c r="F4" s="586"/>
      <c r="G4" s="586"/>
      <c r="H4" s="587"/>
      <c r="I4" s="583"/>
      <c r="J4" s="583"/>
      <c r="K4" s="598"/>
      <c r="L4" s="286"/>
      <c r="O4" s="309"/>
      <c r="P4" s="309"/>
      <c r="Q4" s="309"/>
      <c r="R4" s="309"/>
      <c r="S4" s="309"/>
      <c r="T4" s="309"/>
      <c r="U4" s="309"/>
      <c r="V4" s="309"/>
      <c r="W4" s="309"/>
      <c r="X4" s="309"/>
    </row>
    <row r="5" spans="2:24" s="280" customFormat="1" ht="12.75">
      <c r="B5" s="597"/>
      <c r="C5" s="3"/>
      <c r="D5" s="582"/>
      <c r="E5" s="482"/>
      <c r="F5" s="324"/>
      <c r="G5" s="324"/>
      <c r="H5" s="3"/>
      <c r="I5" s="4"/>
      <c r="J5" s="4"/>
      <c r="K5" s="598"/>
      <c r="L5" s="286"/>
      <c r="O5" s="309"/>
      <c r="P5" s="309"/>
      <c r="Q5" s="309"/>
      <c r="R5" s="309"/>
      <c r="S5" s="309"/>
      <c r="T5" s="309"/>
      <c r="U5" s="309"/>
      <c r="V5" s="309"/>
      <c r="W5" s="309"/>
      <c r="X5" s="309"/>
    </row>
    <row r="6" spans="2:12" ht="12.75">
      <c r="B6" s="599"/>
      <c r="C6" s="18">
        <v>1</v>
      </c>
      <c r="D6" s="1472" t="s">
        <v>557</v>
      </c>
      <c r="E6" s="1472"/>
      <c r="F6" s="1472"/>
      <c r="G6" s="324"/>
      <c r="H6" s="23"/>
      <c r="I6" s="23"/>
      <c r="J6" s="23"/>
      <c r="K6" s="600"/>
      <c r="L6" s="23"/>
    </row>
    <row r="7" spans="2:11" ht="12.75">
      <c r="B7" s="599"/>
      <c r="C7" s="3"/>
      <c r="D7" s="436" t="s">
        <v>558</v>
      </c>
      <c r="E7" s="1467" t="s">
        <v>559</v>
      </c>
      <c r="F7" s="1467"/>
      <c r="G7" s="436" t="s">
        <v>227</v>
      </c>
      <c r="H7" s="632">
        <v>3</v>
      </c>
      <c r="I7" s="23"/>
      <c r="J7" s="23"/>
      <c r="K7" s="600"/>
    </row>
    <row r="8" spans="2:15" ht="15.75">
      <c r="B8" s="599"/>
      <c r="C8" s="3"/>
      <c r="D8" s="436" t="s">
        <v>560</v>
      </c>
      <c r="E8" s="1467" t="s">
        <v>561</v>
      </c>
      <c r="F8" s="1467"/>
      <c r="G8" s="904" t="s">
        <v>619</v>
      </c>
      <c r="H8" s="629">
        <v>18</v>
      </c>
      <c r="I8" s="392"/>
      <c r="J8" s="23"/>
      <c r="K8" s="601"/>
      <c r="M8" s="193"/>
      <c r="N8" s="192"/>
      <c r="O8" s="192"/>
    </row>
    <row r="9" spans="2:15" ht="15.75">
      <c r="B9" s="599"/>
      <c r="C9" s="3"/>
      <c r="D9" s="436" t="s">
        <v>562</v>
      </c>
      <c r="E9" s="1467" t="s">
        <v>290</v>
      </c>
      <c r="F9" s="1467"/>
      <c r="G9" s="436" t="s">
        <v>618</v>
      </c>
      <c r="H9" s="628">
        <v>250</v>
      </c>
      <c r="I9" s="23"/>
      <c r="J9" s="23"/>
      <c r="K9" s="601"/>
      <c r="M9" s="193"/>
      <c r="N9" s="192"/>
      <c r="O9" s="192"/>
    </row>
    <row r="10" spans="2:15" ht="14.25">
      <c r="B10" s="599"/>
      <c r="C10" s="3"/>
      <c r="D10" s="1482" t="s">
        <v>566</v>
      </c>
      <c r="E10" s="1467" t="s">
        <v>563</v>
      </c>
      <c r="F10" s="1467"/>
      <c r="G10" s="1488" t="s">
        <v>573</v>
      </c>
      <c r="H10" s="631">
        <v>30</v>
      </c>
      <c r="I10" s="23"/>
      <c r="J10" s="23"/>
      <c r="K10" s="601"/>
      <c r="M10" s="569"/>
      <c r="N10" s="569"/>
      <c r="O10" s="569"/>
    </row>
    <row r="11" spans="2:15" ht="14.25">
      <c r="B11" s="599"/>
      <c r="C11" s="3"/>
      <c r="D11" s="1482"/>
      <c r="E11" s="1467"/>
      <c r="F11" s="1467"/>
      <c r="G11" s="1488"/>
      <c r="H11" s="630">
        <f>(H10*PI())/180</f>
        <v>0.5235987755982988</v>
      </c>
      <c r="I11" s="23"/>
      <c r="J11" s="23"/>
      <c r="K11" s="601"/>
      <c r="M11" s="569"/>
      <c r="N11" s="569"/>
      <c r="O11" s="569"/>
    </row>
    <row r="12" spans="2:15" ht="14.25">
      <c r="B12" s="599"/>
      <c r="C12" s="3"/>
      <c r="D12" s="1482" t="s">
        <v>567</v>
      </c>
      <c r="E12" s="1467" t="s">
        <v>564</v>
      </c>
      <c r="F12" s="1467"/>
      <c r="G12" s="1488" t="s">
        <v>572</v>
      </c>
      <c r="H12" s="631">
        <v>0</v>
      </c>
      <c r="I12" s="398"/>
      <c r="J12" s="49"/>
      <c r="K12" s="601"/>
      <c r="M12" s="193"/>
      <c r="N12" s="192"/>
      <c r="O12" s="192"/>
    </row>
    <row r="13" spans="2:15" ht="14.25">
      <c r="B13" s="599"/>
      <c r="C13" s="3"/>
      <c r="D13" s="1482"/>
      <c r="E13" s="1467"/>
      <c r="F13" s="1467"/>
      <c r="G13" s="1488"/>
      <c r="H13" s="630">
        <f>(H12*PI())/180</f>
        <v>0</v>
      </c>
      <c r="I13" s="23"/>
      <c r="J13" s="23"/>
      <c r="K13" s="601"/>
      <c r="M13" s="193"/>
      <c r="N13" s="192"/>
      <c r="O13" s="192"/>
    </row>
    <row r="14" spans="2:11" ht="12.75">
      <c r="B14" s="599"/>
      <c r="C14" s="3"/>
      <c r="D14" s="436" t="s">
        <v>568</v>
      </c>
      <c r="E14" s="1467" t="s">
        <v>565</v>
      </c>
      <c r="F14" s="1467"/>
      <c r="G14" s="573" t="s">
        <v>571</v>
      </c>
      <c r="H14" s="206">
        <v>0.5</v>
      </c>
      <c r="I14" s="23"/>
      <c r="J14" s="23"/>
      <c r="K14" s="600"/>
    </row>
    <row r="15" spans="2:12" ht="15.75">
      <c r="B15" s="599"/>
      <c r="C15" s="3"/>
      <c r="D15" s="436" t="s">
        <v>569</v>
      </c>
      <c r="E15" s="1467" t="s">
        <v>570</v>
      </c>
      <c r="F15" s="1467"/>
      <c r="G15" s="436" t="s">
        <v>620</v>
      </c>
      <c r="H15" s="628">
        <v>4</v>
      </c>
      <c r="I15" s="23"/>
      <c r="J15" s="23"/>
      <c r="K15" s="600"/>
      <c r="L15" s="23"/>
    </row>
    <row r="16" spans="2:12" ht="13.5" thickBot="1">
      <c r="B16" s="599"/>
      <c r="C16" s="587"/>
      <c r="D16" s="589"/>
      <c r="E16" s="590"/>
      <c r="F16" s="586"/>
      <c r="G16" s="586"/>
      <c r="H16" s="590"/>
      <c r="I16" s="590"/>
      <c r="J16" s="590"/>
      <c r="K16" s="600"/>
      <c r="L16" s="23"/>
    </row>
    <row r="17" spans="2:12" ht="12.75">
      <c r="B17" s="599"/>
      <c r="C17" s="3"/>
      <c r="D17" s="324"/>
      <c r="E17" s="23"/>
      <c r="F17" s="324"/>
      <c r="G17" s="324"/>
      <c r="H17" s="23"/>
      <c r="I17" s="23"/>
      <c r="J17" s="23"/>
      <c r="K17" s="600"/>
      <c r="L17" s="23"/>
    </row>
    <row r="18" spans="2:12" ht="12.75">
      <c r="B18" s="599"/>
      <c r="C18" s="18">
        <v>2</v>
      </c>
      <c r="D18" s="1472" t="s">
        <v>574</v>
      </c>
      <c r="E18" s="1350"/>
      <c r="F18" s="1350"/>
      <c r="G18" s="324"/>
      <c r="H18" s="23"/>
      <c r="I18" s="23"/>
      <c r="J18" s="23"/>
      <c r="K18" s="600"/>
      <c r="L18" s="23"/>
    </row>
    <row r="19" spans="2:11" s="570" customFormat="1" ht="12.75">
      <c r="B19" s="602"/>
      <c r="C19" s="472"/>
      <c r="D19" s="1476" t="s">
        <v>558</v>
      </c>
      <c r="E19" s="1478" t="s">
        <v>726</v>
      </c>
      <c r="F19" s="1479"/>
      <c r="G19" s="1476" t="s">
        <v>575</v>
      </c>
      <c r="H19" s="1495">
        <f>((COS(H13)-SQRT(((COS(H13))^2)-((COS(H11))^2)))/(COS(H13)+SQRT(((COS(H13))^2)-((COS(H11))^2))))*(COS(H13))</f>
        <v>0.3333333333333334</v>
      </c>
      <c r="I19" s="129"/>
      <c r="J19" s="129"/>
      <c r="K19" s="603"/>
    </row>
    <row r="20" spans="2:11" s="570" customFormat="1" ht="26.25" customHeight="1">
      <c r="B20" s="602"/>
      <c r="C20" s="472"/>
      <c r="D20" s="1477"/>
      <c r="E20" s="1483" t="s">
        <v>727</v>
      </c>
      <c r="F20" s="1484"/>
      <c r="G20" s="1477"/>
      <c r="H20" s="1496"/>
      <c r="I20" s="129"/>
      <c r="J20" s="129"/>
      <c r="K20" s="603"/>
    </row>
    <row r="21" spans="2:11" s="570" customFormat="1" ht="12.75">
      <c r="B21" s="602"/>
      <c r="C21" s="472"/>
      <c r="D21" s="1476" t="s">
        <v>560</v>
      </c>
      <c r="E21" s="1478" t="s">
        <v>576</v>
      </c>
      <c r="F21" s="1479"/>
      <c r="G21" s="1482" t="s">
        <v>577</v>
      </c>
      <c r="H21" s="1531">
        <f>(1+SIN(H11))/(1-SIN(H11))</f>
        <v>3</v>
      </c>
      <c r="I21" s="129"/>
      <c r="J21" s="129"/>
      <c r="K21" s="603"/>
    </row>
    <row r="22" spans="2:12" s="570" customFormat="1" ht="12.75">
      <c r="B22" s="602"/>
      <c r="C22" s="472"/>
      <c r="D22" s="1477"/>
      <c r="E22" s="1510" t="s">
        <v>578</v>
      </c>
      <c r="F22" s="1511"/>
      <c r="G22" s="1482"/>
      <c r="H22" s="1531"/>
      <c r="I22" s="129"/>
      <c r="J22" s="129"/>
      <c r="K22" s="603"/>
      <c r="L22" s="129"/>
    </row>
    <row r="23" spans="2:12" ht="13.5" thickBot="1">
      <c r="B23" s="599"/>
      <c r="C23" s="587"/>
      <c r="D23" s="586"/>
      <c r="E23" s="590"/>
      <c r="F23" s="586"/>
      <c r="G23" s="586"/>
      <c r="H23" s="590"/>
      <c r="I23" s="590"/>
      <c r="J23" s="590"/>
      <c r="K23" s="600"/>
      <c r="L23" s="23"/>
    </row>
    <row r="24" spans="2:12" ht="12.75">
      <c r="B24" s="599"/>
      <c r="C24" s="3"/>
      <c r="D24" s="324"/>
      <c r="E24" s="23"/>
      <c r="F24" s="324"/>
      <c r="G24" s="324"/>
      <c r="H24" s="23"/>
      <c r="I24" s="23"/>
      <c r="J24" s="23"/>
      <c r="K24" s="600"/>
      <c r="L24" s="23"/>
    </row>
    <row r="25" spans="2:12" ht="12.75">
      <c r="B25" s="599"/>
      <c r="C25" s="18">
        <v>3</v>
      </c>
      <c r="D25" s="1350" t="s">
        <v>579</v>
      </c>
      <c r="E25" s="1350"/>
      <c r="F25" s="1350"/>
      <c r="G25" s="324"/>
      <c r="H25" s="23"/>
      <c r="I25" s="23"/>
      <c r="J25" s="23"/>
      <c r="K25" s="600"/>
      <c r="L25" s="23"/>
    </row>
    <row r="26" spans="2:11" ht="12.75">
      <c r="B26" s="599"/>
      <c r="C26" s="3"/>
      <c r="D26" s="398"/>
      <c r="E26" s="579"/>
      <c r="F26" s="324"/>
      <c r="G26" s="324"/>
      <c r="H26" s="49"/>
      <c r="I26" s="576" t="s">
        <v>641</v>
      </c>
      <c r="J26" s="577" t="s">
        <v>642</v>
      </c>
      <c r="K26" s="600"/>
    </row>
    <row r="27" spans="2:11" ht="15.75">
      <c r="B27" s="599"/>
      <c r="C27" s="3"/>
      <c r="D27" s="436" t="s">
        <v>558</v>
      </c>
      <c r="E27" s="571" t="s">
        <v>580</v>
      </c>
      <c r="F27" s="615"/>
      <c r="G27" s="1470" t="s">
        <v>581</v>
      </c>
      <c r="H27" s="1470"/>
      <c r="I27" s="436" t="s">
        <v>32</v>
      </c>
      <c r="J27" s="632">
        <v>0.2</v>
      </c>
      <c r="K27" s="600"/>
    </row>
    <row r="28" spans="2:11" ht="15.75">
      <c r="B28" s="599"/>
      <c r="C28" s="3"/>
      <c r="D28" s="436" t="s">
        <v>560</v>
      </c>
      <c r="E28" s="571" t="s">
        <v>582</v>
      </c>
      <c r="F28" s="615"/>
      <c r="G28" s="1470" t="s">
        <v>686</v>
      </c>
      <c r="H28" s="1470"/>
      <c r="I28" s="273">
        <f>0.08*(H7)</f>
        <v>0.24</v>
      </c>
      <c r="J28" s="632">
        <v>0.3</v>
      </c>
      <c r="K28" s="600"/>
    </row>
    <row r="29" spans="2:11" ht="12.75">
      <c r="B29" s="599"/>
      <c r="C29" s="3"/>
      <c r="D29" s="1476" t="s">
        <v>562</v>
      </c>
      <c r="E29" s="571" t="s">
        <v>583</v>
      </c>
      <c r="F29" s="615"/>
      <c r="G29" s="1470" t="s">
        <v>687</v>
      </c>
      <c r="H29" s="1470"/>
      <c r="I29" s="625">
        <f>1.5*(SQRT(H19/3))*(H7+J32)</f>
        <v>1.6111111111111112</v>
      </c>
      <c r="J29" s="1490">
        <v>2</v>
      </c>
      <c r="K29" s="600"/>
    </row>
    <row r="30" spans="2:11" ht="12.75">
      <c r="B30" s="599"/>
      <c r="C30" s="3"/>
      <c r="D30" s="1477"/>
      <c r="E30" s="580" t="s">
        <v>584</v>
      </c>
      <c r="F30" s="581"/>
      <c r="G30" s="1470" t="s">
        <v>640</v>
      </c>
      <c r="H30" s="1470"/>
      <c r="I30" s="625">
        <f>0.65*J38</f>
        <v>2.0944444444444446</v>
      </c>
      <c r="J30" s="1491"/>
      <c r="K30" s="600"/>
    </row>
    <row r="31" spans="2:11" ht="12.75">
      <c r="B31" s="599"/>
      <c r="C31" s="3"/>
      <c r="D31" s="398"/>
      <c r="E31" s="591"/>
      <c r="F31" s="591"/>
      <c r="G31" s="591"/>
      <c r="H31" s="49"/>
      <c r="I31" s="49"/>
      <c r="J31" s="592"/>
      <c r="K31" s="600"/>
    </row>
    <row r="32" spans="2:11" ht="15.75">
      <c r="B32" s="599"/>
      <c r="C32" s="3"/>
      <c r="D32" s="436" t="s">
        <v>566</v>
      </c>
      <c r="E32" s="571" t="s">
        <v>656</v>
      </c>
      <c r="F32" s="615"/>
      <c r="G32" s="615"/>
      <c r="H32" s="1466" t="s">
        <v>631</v>
      </c>
      <c r="I32" s="1466"/>
      <c r="J32" s="273">
        <f>H15/H8</f>
        <v>0.2222222222222222</v>
      </c>
      <c r="K32" s="600"/>
    </row>
    <row r="33" spans="2:11" ht="15.75">
      <c r="B33" s="599"/>
      <c r="C33" s="3"/>
      <c r="D33" s="436" t="s">
        <v>567</v>
      </c>
      <c r="E33" s="571" t="s">
        <v>636</v>
      </c>
      <c r="F33" s="615"/>
      <c r="G33" s="615"/>
      <c r="H33" s="1466" t="s">
        <v>639</v>
      </c>
      <c r="I33" s="1466"/>
      <c r="J33" s="273">
        <f>H7+J32</f>
        <v>3.2222222222222223</v>
      </c>
      <c r="K33" s="600"/>
    </row>
    <row r="34" spans="2:11" ht="12.75">
      <c r="B34" s="599"/>
      <c r="C34" s="3"/>
      <c r="D34" s="398"/>
      <c r="E34" s="49"/>
      <c r="F34" s="49"/>
      <c r="G34" s="49"/>
      <c r="H34" s="905"/>
      <c r="I34" s="392"/>
      <c r="J34" s="23"/>
      <c r="K34" s="600"/>
    </row>
    <row r="35" spans="2:11" ht="15.75">
      <c r="B35" s="599"/>
      <c r="C35" s="3"/>
      <c r="D35" s="436" t="s">
        <v>568</v>
      </c>
      <c r="E35" s="571" t="s">
        <v>635</v>
      </c>
      <c r="F35" s="615"/>
      <c r="G35" s="615"/>
      <c r="H35" s="1473" t="s">
        <v>654</v>
      </c>
      <c r="I35" s="1475"/>
      <c r="J35" s="273">
        <f>(J29-J27)*(TAN(H13))</f>
        <v>0</v>
      </c>
      <c r="K35" s="600"/>
    </row>
    <row r="36" spans="2:11" ht="15.75">
      <c r="B36" s="599"/>
      <c r="C36" s="3"/>
      <c r="D36" s="436" t="s">
        <v>569</v>
      </c>
      <c r="E36" s="571" t="s">
        <v>637</v>
      </c>
      <c r="F36" s="615"/>
      <c r="G36" s="615"/>
      <c r="H36" s="1466" t="s">
        <v>655</v>
      </c>
      <c r="I36" s="1466"/>
      <c r="J36" s="273">
        <f>H7+J35</f>
        <v>3</v>
      </c>
      <c r="K36" s="600"/>
    </row>
    <row r="37" spans="2:11" ht="12.75">
      <c r="B37" s="599"/>
      <c r="C37" s="3"/>
      <c r="D37" s="398"/>
      <c r="E37" s="579"/>
      <c r="F37" s="49"/>
      <c r="G37" s="49"/>
      <c r="H37" s="905"/>
      <c r="I37" s="392"/>
      <c r="J37" s="23"/>
      <c r="K37" s="600"/>
    </row>
    <row r="38" spans="2:12" ht="15.75">
      <c r="B38" s="599"/>
      <c r="C38" s="3"/>
      <c r="D38" s="436" t="s">
        <v>643</v>
      </c>
      <c r="E38" s="571" t="s">
        <v>667</v>
      </c>
      <c r="F38" s="615"/>
      <c r="G38" s="615"/>
      <c r="H38" s="615"/>
      <c r="I38" s="612"/>
      <c r="J38" s="273">
        <f>MAX(J33,J36)</f>
        <v>3.2222222222222223</v>
      </c>
      <c r="K38" s="600"/>
      <c r="L38" s="23"/>
    </row>
    <row r="39" spans="2:12" ht="12.75">
      <c r="B39" s="599"/>
      <c r="C39" s="3"/>
      <c r="D39" s="398"/>
      <c r="E39" s="591"/>
      <c r="F39" s="591"/>
      <c r="G39" s="591"/>
      <c r="H39" s="49"/>
      <c r="I39" s="49"/>
      <c r="J39" s="592"/>
      <c r="K39" s="600"/>
      <c r="L39" s="23"/>
    </row>
    <row r="40" spans="2:12" ht="13.5" thickBot="1">
      <c r="B40" s="599"/>
      <c r="C40" s="587"/>
      <c r="D40" s="589"/>
      <c r="E40" s="593"/>
      <c r="F40" s="593"/>
      <c r="G40" s="593"/>
      <c r="H40" s="594"/>
      <c r="I40" s="594"/>
      <c r="J40" s="595"/>
      <c r="K40" s="600"/>
      <c r="L40" s="23"/>
    </row>
    <row r="41" spans="2:12" ht="12.75">
      <c r="B41" s="599"/>
      <c r="C41" s="3"/>
      <c r="D41" s="398"/>
      <c r="E41" s="579"/>
      <c r="F41" s="1471"/>
      <c r="G41" s="1471"/>
      <c r="H41" s="23"/>
      <c r="I41" s="23"/>
      <c r="J41" s="392"/>
      <c r="K41" s="600"/>
      <c r="L41" s="23"/>
    </row>
    <row r="42" spans="2:12" ht="12.75">
      <c r="B42" s="599"/>
      <c r="C42" s="18">
        <v>4</v>
      </c>
      <c r="D42" s="1472" t="s">
        <v>585</v>
      </c>
      <c r="E42" s="1472"/>
      <c r="F42" s="1472"/>
      <c r="G42" s="1472"/>
      <c r="H42" s="23"/>
      <c r="I42" s="23"/>
      <c r="J42" s="23"/>
      <c r="K42" s="600"/>
      <c r="L42" s="23"/>
    </row>
    <row r="43" spans="2:12" ht="15.75">
      <c r="B43" s="599"/>
      <c r="C43" s="3"/>
      <c r="D43" s="901" t="s">
        <v>558</v>
      </c>
      <c r="E43" s="1470" t="s">
        <v>632</v>
      </c>
      <c r="F43" s="1470"/>
      <c r="G43" s="1470"/>
      <c r="H43" s="1470" t="s">
        <v>586</v>
      </c>
      <c r="I43" s="1470"/>
      <c r="J43" s="302">
        <f>H19*H15*H7</f>
        <v>4.000000000000001</v>
      </c>
      <c r="K43" s="600"/>
      <c r="L43" s="23"/>
    </row>
    <row r="44" spans="2:12" ht="15.75">
      <c r="B44" s="599"/>
      <c r="C44" s="3"/>
      <c r="D44" s="901" t="s">
        <v>560</v>
      </c>
      <c r="E44" s="1470" t="s">
        <v>633</v>
      </c>
      <c r="F44" s="1470"/>
      <c r="G44" s="1470"/>
      <c r="H44" s="1470" t="s">
        <v>644</v>
      </c>
      <c r="I44" s="1470"/>
      <c r="J44" s="302">
        <f>(H19*H8*J36^2)/2</f>
        <v>27.000000000000007</v>
      </c>
      <c r="K44" s="600"/>
      <c r="L44" s="23"/>
    </row>
    <row r="45" spans="2:12" ht="15.75">
      <c r="B45" s="599"/>
      <c r="C45" s="3"/>
      <c r="D45" s="901" t="s">
        <v>562</v>
      </c>
      <c r="E45" s="1470" t="s">
        <v>587</v>
      </c>
      <c r="F45" s="1470"/>
      <c r="G45" s="1470"/>
      <c r="H45" s="1470" t="s">
        <v>588</v>
      </c>
      <c r="I45" s="1470"/>
      <c r="J45" s="302">
        <f>J43+J44</f>
        <v>31.000000000000007</v>
      </c>
      <c r="K45" s="600"/>
      <c r="L45" s="23"/>
    </row>
    <row r="46" spans="2:12" ht="12.75">
      <c r="B46" s="599"/>
      <c r="C46" s="3"/>
      <c r="D46" s="324"/>
      <c r="E46" s="23"/>
      <c r="F46" s="324"/>
      <c r="G46" s="324"/>
      <c r="H46" s="23"/>
      <c r="I46" s="23"/>
      <c r="J46" s="23"/>
      <c r="K46" s="600"/>
      <c r="L46" s="23"/>
    </row>
    <row r="47" spans="2:12" ht="15.75">
      <c r="B47" s="599"/>
      <c r="C47" s="3"/>
      <c r="D47" s="901" t="s">
        <v>589</v>
      </c>
      <c r="E47" s="1480" t="s">
        <v>590</v>
      </c>
      <c r="F47" s="1481"/>
      <c r="G47" s="1473" t="s">
        <v>647</v>
      </c>
      <c r="H47" s="1474"/>
      <c r="I47" s="1475"/>
      <c r="J47" s="633">
        <f>(J43*H7/2)+((J44*COS(H13))*H7/3)</f>
        <v>33.000000000000014</v>
      </c>
      <c r="K47" s="600"/>
      <c r="L47" s="23"/>
    </row>
    <row r="48" spans="2:12" ht="12.75">
      <c r="B48" s="599"/>
      <c r="C48" s="3"/>
      <c r="D48" s="324"/>
      <c r="E48" s="23"/>
      <c r="F48" s="324"/>
      <c r="G48" s="324"/>
      <c r="H48" s="23"/>
      <c r="I48" s="23"/>
      <c r="J48" s="23"/>
      <c r="K48" s="600"/>
      <c r="L48" s="23"/>
    </row>
    <row r="49" spans="2:12" ht="12.75">
      <c r="B49" s="599"/>
      <c r="C49" s="3"/>
      <c r="D49" s="324"/>
      <c r="E49" s="23"/>
      <c r="F49" s="324"/>
      <c r="G49" s="324"/>
      <c r="H49" s="23"/>
      <c r="I49" s="23"/>
      <c r="J49" s="23"/>
      <c r="K49" s="600"/>
      <c r="L49" s="23"/>
    </row>
    <row r="50" spans="2:11" ht="27" customHeight="1">
      <c r="B50" s="599"/>
      <c r="C50" s="3"/>
      <c r="D50" s="436" t="s">
        <v>567</v>
      </c>
      <c r="E50" s="1409" t="s">
        <v>34</v>
      </c>
      <c r="F50" s="1410"/>
      <c r="G50" s="1411"/>
      <c r="H50" s="1518" t="s">
        <v>592</v>
      </c>
      <c r="I50" s="1519"/>
      <c r="J50" s="610" t="s">
        <v>1</v>
      </c>
      <c r="K50" s="600"/>
    </row>
    <row r="51" spans="2:11" ht="15.75">
      <c r="B51" s="599"/>
      <c r="C51" s="3"/>
      <c r="D51" s="436" t="s">
        <v>657</v>
      </c>
      <c r="E51" s="580" t="s">
        <v>705</v>
      </c>
      <c r="F51" s="613" t="s">
        <v>706</v>
      </c>
      <c r="G51" s="302">
        <f>(J29-J27)*(H7-J28)*H8</f>
        <v>87.48</v>
      </c>
      <c r="H51" s="609" t="s">
        <v>593</v>
      </c>
      <c r="I51" s="273">
        <f>(J29-J27)/2</f>
        <v>0.9</v>
      </c>
      <c r="J51" s="635">
        <f aca="true" t="shared" si="0" ref="J51:J57">G51*I51</f>
        <v>78.732</v>
      </c>
      <c r="K51" s="600"/>
    </row>
    <row r="52" spans="2:11" ht="15.75">
      <c r="B52" s="599"/>
      <c r="C52" s="3"/>
      <c r="D52" s="436" t="s">
        <v>658</v>
      </c>
      <c r="E52" s="580" t="s">
        <v>707</v>
      </c>
      <c r="F52" s="613" t="s">
        <v>708</v>
      </c>
      <c r="G52" s="302">
        <f>(H19*H15*H7)</f>
        <v>4.000000000000001</v>
      </c>
      <c r="H52" s="609" t="s">
        <v>593</v>
      </c>
      <c r="I52" s="273">
        <f>(J29-J27)/2</f>
        <v>0.9</v>
      </c>
      <c r="J52" s="635">
        <f t="shared" si="0"/>
        <v>3.600000000000001</v>
      </c>
      <c r="K52" s="600"/>
    </row>
    <row r="53" spans="2:11" ht="15.75">
      <c r="B53" s="599"/>
      <c r="C53" s="3"/>
      <c r="D53" s="436" t="s">
        <v>659</v>
      </c>
      <c r="E53" s="580" t="s">
        <v>709</v>
      </c>
      <c r="F53" s="613" t="s">
        <v>710</v>
      </c>
      <c r="G53" s="302">
        <f>((J29-J27)*(J35)*(H8)/2)</f>
        <v>0</v>
      </c>
      <c r="H53" s="609" t="s">
        <v>638</v>
      </c>
      <c r="I53" s="273">
        <f>(J29-J27)/3</f>
        <v>0.6</v>
      </c>
      <c r="J53" s="635">
        <f t="shared" si="0"/>
        <v>0</v>
      </c>
      <c r="K53" s="600"/>
    </row>
    <row r="54" spans="2:11" ht="15.75">
      <c r="B54" s="599"/>
      <c r="C54" s="3"/>
      <c r="D54" s="436" t="s">
        <v>660</v>
      </c>
      <c r="E54" s="580" t="s">
        <v>711</v>
      </c>
      <c r="F54" s="613" t="s">
        <v>712</v>
      </c>
      <c r="G54" s="302">
        <f>J27*(H7-J28)*25</f>
        <v>13.5</v>
      </c>
      <c r="H54" s="609" t="s">
        <v>645</v>
      </c>
      <c r="I54" s="273">
        <f>(J29-(J27/2))/2</f>
        <v>0.95</v>
      </c>
      <c r="J54" s="635">
        <f t="shared" si="0"/>
        <v>12.825</v>
      </c>
      <c r="K54" s="600"/>
    </row>
    <row r="55" spans="2:11" ht="15.75">
      <c r="B55" s="599"/>
      <c r="C55" s="3"/>
      <c r="D55" s="436" t="s">
        <v>661</v>
      </c>
      <c r="E55" s="580" t="s">
        <v>716</v>
      </c>
      <c r="F55" s="613" t="s">
        <v>713</v>
      </c>
      <c r="G55" s="302">
        <f>J29*J28*25</f>
        <v>15</v>
      </c>
      <c r="H55" s="609" t="s">
        <v>594</v>
      </c>
      <c r="I55" s="273">
        <f>J29/2</f>
        <v>1</v>
      </c>
      <c r="J55" s="635">
        <f t="shared" si="0"/>
        <v>15</v>
      </c>
      <c r="K55" s="600"/>
    </row>
    <row r="56" spans="2:11" ht="15.75">
      <c r="B56" s="599"/>
      <c r="C56" s="3"/>
      <c r="D56" s="436" t="s">
        <v>662</v>
      </c>
      <c r="E56" s="580" t="s">
        <v>714</v>
      </c>
      <c r="F56" s="613" t="s">
        <v>715</v>
      </c>
      <c r="G56" s="302">
        <f>J45*SIN(H13)</f>
        <v>0</v>
      </c>
      <c r="H56" s="609"/>
      <c r="I56" s="908"/>
      <c r="J56" s="635">
        <f t="shared" si="0"/>
        <v>0</v>
      </c>
      <c r="K56" s="600"/>
    </row>
    <row r="57" spans="2:11" ht="15.75">
      <c r="B57" s="599"/>
      <c r="C57" s="3"/>
      <c r="D57" s="436" t="s">
        <v>662</v>
      </c>
      <c r="E57" s="580" t="s">
        <v>425</v>
      </c>
      <c r="F57" s="613"/>
      <c r="G57" s="302"/>
      <c r="H57" s="907"/>
      <c r="I57" s="908"/>
      <c r="J57" s="635">
        <f t="shared" si="0"/>
        <v>0</v>
      </c>
      <c r="K57" s="600"/>
    </row>
    <row r="58" spans="2:11" ht="15.75">
      <c r="B58" s="599"/>
      <c r="C58" s="3"/>
      <c r="D58" s="1512" t="s">
        <v>595</v>
      </c>
      <c r="E58" s="1517"/>
      <c r="F58" s="1513"/>
      <c r="G58" s="634">
        <f>SUM(G51:G57)</f>
        <v>119.98</v>
      </c>
      <c r="H58" s="1512" t="s">
        <v>596</v>
      </c>
      <c r="I58" s="1513"/>
      <c r="J58" s="633">
        <f>SUM(J51:J57)</f>
        <v>110.157</v>
      </c>
      <c r="K58" s="600"/>
    </row>
    <row r="59" spans="2:12" ht="12.75">
      <c r="B59" s="599"/>
      <c r="C59" s="3"/>
      <c r="D59" s="324"/>
      <c r="E59" s="23"/>
      <c r="F59" s="324"/>
      <c r="G59" s="324"/>
      <c r="H59" s="23"/>
      <c r="I59" s="23"/>
      <c r="J59" s="23"/>
      <c r="K59" s="600"/>
      <c r="L59" s="23"/>
    </row>
    <row r="60" spans="2:12" ht="15.75">
      <c r="B60" s="599"/>
      <c r="C60" s="3"/>
      <c r="D60" s="11" t="s">
        <v>568</v>
      </c>
      <c r="E60" s="1330" t="s">
        <v>597</v>
      </c>
      <c r="F60" s="1334"/>
      <c r="G60" s="1334"/>
      <c r="H60" s="1331"/>
      <c r="I60" s="901" t="s">
        <v>652</v>
      </c>
      <c r="J60" s="273">
        <f>J58/G58</f>
        <v>0.9181280213368894</v>
      </c>
      <c r="K60" s="600"/>
      <c r="L60" s="23"/>
    </row>
    <row r="61" spans="2:12" ht="12.75">
      <c r="B61" s="599"/>
      <c r="C61" s="3"/>
      <c r="D61" s="324"/>
      <c r="E61" s="23"/>
      <c r="F61" s="324"/>
      <c r="G61" s="324"/>
      <c r="H61" s="23"/>
      <c r="I61" s="23"/>
      <c r="J61" s="23"/>
      <c r="K61" s="600"/>
      <c r="L61" s="23"/>
    </row>
    <row r="62" spans="2:12" ht="15.75">
      <c r="B62" s="599"/>
      <c r="C62" s="3"/>
      <c r="D62" s="901" t="s">
        <v>569</v>
      </c>
      <c r="E62" s="1470" t="s">
        <v>598</v>
      </c>
      <c r="F62" s="1470"/>
      <c r="G62" s="1470"/>
      <c r="H62" s="1473" t="s">
        <v>599</v>
      </c>
      <c r="I62" s="1475"/>
      <c r="J62" s="633">
        <f>(G58*(J29-J60))</f>
        <v>129.80300000000003</v>
      </c>
      <c r="K62" s="600"/>
      <c r="L62" s="23"/>
    </row>
    <row r="63" spans="2:12" ht="12.75">
      <c r="B63" s="599"/>
      <c r="C63" s="3"/>
      <c r="D63" s="324"/>
      <c r="E63" s="23"/>
      <c r="F63" s="324"/>
      <c r="G63" s="324"/>
      <c r="H63" s="23"/>
      <c r="I63" s="23"/>
      <c r="J63" s="23"/>
      <c r="K63" s="600"/>
      <c r="L63" s="23"/>
    </row>
    <row r="64" spans="2:11" ht="12.75">
      <c r="B64" s="599"/>
      <c r="C64" s="3"/>
      <c r="D64" s="1497" t="s">
        <v>600</v>
      </c>
      <c r="E64" s="571" t="s">
        <v>601</v>
      </c>
      <c r="F64" s="615"/>
      <c r="G64" s="615"/>
      <c r="H64" s="615"/>
      <c r="I64" s="615"/>
      <c r="J64" s="612"/>
      <c r="K64" s="600"/>
    </row>
    <row r="65" spans="2:11" ht="15.75">
      <c r="B65" s="599"/>
      <c r="C65" s="3"/>
      <c r="D65" s="1499"/>
      <c r="E65" s="580" t="s">
        <v>663</v>
      </c>
      <c r="F65" s="588">
        <f>0.9*J62/J47</f>
        <v>3.5400818181818177</v>
      </c>
      <c r="G65" s="578" t="str">
        <f>IF(F65&gt;1.4,"&gt; 1.4","&lt; 1.4")</f>
        <v>&gt; 1.4</v>
      </c>
      <c r="H65" s="1492" t="str">
        <f>IF(F65&gt;=1.4,"Safe against Overturning","Unsafe against Overturning")</f>
        <v>Safe against Overturning</v>
      </c>
      <c r="I65" s="1493"/>
      <c r="J65" s="1494"/>
      <c r="K65" s="600"/>
    </row>
    <row r="66" spans="2:12" ht="13.5" thickBot="1">
      <c r="B66" s="599"/>
      <c r="C66" s="587"/>
      <c r="D66" s="586"/>
      <c r="E66" s="590"/>
      <c r="F66" s="586"/>
      <c r="G66" s="586"/>
      <c r="H66" s="590"/>
      <c r="I66" s="590"/>
      <c r="J66" s="590"/>
      <c r="K66" s="600"/>
      <c r="L66" s="23"/>
    </row>
    <row r="67" spans="2:12" ht="12.75">
      <c r="B67" s="599"/>
      <c r="C67" s="3"/>
      <c r="D67" s="324"/>
      <c r="E67" s="23"/>
      <c r="F67" s="324"/>
      <c r="G67" s="324"/>
      <c r="H67" s="23"/>
      <c r="I67" s="23"/>
      <c r="J67" s="23"/>
      <c r="K67" s="600"/>
      <c r="L67" s="23"/>
    </row>
    <row r="68" spans="2:12" ht="12.75">
      <c r="B68" s="599"/>
      <c r="C68" s="18">
        <v>5</v>
      </c>
      <c r="D68" s="1472" t="s">
        <v>602</v>
      </c>
      <c r="E68" s="1350"/>
      <c r="F68" s="1350"/>
      <c r="G68" s="324"/>
      <c r="H68" s="23"/>
      <c r="I68" s="23"/>
      <c r="J68" s="23"/>
      <c r="K68" s="600"/>
      <c r="L68" s="23"/>
    </row>
    <row r="69" spans="2:12" ht="12.75">
      <c r="B69" s="599"/>
      <c r="C69" s="3"/>
      <c r="D69" s="436" t="s">
        <v>558</v>
      </c>
      <c r="E69" s="1467" t="s">
        <v>603</v>
      </c>
      <c r="F69" s="1467"/>
      <c r="G69" s="1467"/>
      <c r="H69" s="436" t="s">
        <v>604</v>
      </c>
      <c r="I69" s="302">
        <f>J45*COS(H13)</f>
        <v>31.000000000000007</v>
      </c>
      <c r="J69" s="23"/>
      <c r="K69" s="600"/>
      <c r="L69" s="23"/>
    </row>
    <row r="70" spans="2:12" ht="12.75">
      <c r="B70" s="599"/>
      <c r="C70" s="3"/>
      <c r="D70" s="436" t="s">
        <v>560</v>
      </c>
      <c r="E70" s="1467" t="s">
        <v>605</v>
      </c>
      <c r="F70" s="1467"/>
      <c r="G70" s="1467"/>
      <c r="H70" s="436" t="s">
        <v>606</v>
      </c>
      <c r="I70" s="302">
        <f>H14*G58</f>
        <v>59.99</v>
      </c>
      <c r="J70" s="23"/>
      <c r="K70" s="600"/>
      <c r="L70" s="23"/>
    </row>
    <row r="71" spans="2:12" ht="12.75">
      <c r="B71" s="599"/>
      <c r="C71" s="3"/>
      <c r="D71" s="324"/>
      <c r="E71" s="23"/>
      <c r="F71" s="324"/>
      <c r="G71" s="324"/>
      <c r="H71" s="23"/>
      <c r="I71" s="23"/>
      <c r="J71" s="23"/>
      <c r="K71" s="600"/>
      <c r="L71" s="23"/>
    </row>
    <row r="72" spans="2:12" ht="12.75">
      <c r="B72" s="599"/>
      <c r="C72" s="3"/>
      <c r="D72" s="1521" t="s">
        <v>607</v>
      </c>
      <c r="E72" s="1480" t="s">
        <v>608</v>
      </c>
      <c r="F72" s="1520"/>
      <c r="G72" s="1520"/>
      <c r="H72" s="1520"/>
      <c r="I72" s="1481"/>
      <c r="J72" s="23"/>
      <c r="K72" s="600"/>
      <c r="L72" s="23"/>
    </row>
    <row r="73" spans="2:12" ht="15.75">
      <c r="B73" s="599"/>
      <c r="C73" s="3"/>
      <c r="D73" s="1522"/>
      <c r="E73" s="571" t="s">
        <v>664</v>
      </c>
      <c r="F73" s="588">
        <f>(0.9*I70)/I69</f>
        <v>1.741645161290322</v>
      </c>
      <c r="G73" s="578" t="str">
        <f>IF(F73&gt;1.4,"&gt; 1.4","&lt; 1.4")</f>
        <v>&gt; 1.4</v>
      </c>
      <c r="H73" s="1501" t="str">
        <f>IF(F73&gt;=1.4,"Safe against Sliding","Unsafe against Sliding")</f>
        <v>Safe against Sliding</v>
      </c>
      <c r="I73" s="1503"/>
      <c r="J73" s="23"/>
      <c r="K73" s="600"/>
      <c r="L73" s="23"/>
    </row>
    <row r="74" spans="2:12" ht="12.75">
      <c r="B74" s="599"/>
      <c r="C74" s="3"/>
      <c r="D74" s="398"/>
      <c r="E74" s="23"/>
      <c r="F74" s="324"/>
      <c r="G74" s="324"/>
      <c r="H74" s="23"/>
      <c r="I74" s="23"/>
      <c r="J74" s="23"/>
      <c r="K74" s="600"/>
      <c r="L74" s="23"/>
    </row>
    <row r="75" spans="2:12" ht="12.75">
      <c r="B75" s="599"/>
      <c r="C75" s="3"/>
      <c r="D75" s="1505" t="str">
        <f>IF(F73&gt;=1.4,"Shear Key not required","Shear Key Required")</f>
        <v>Shear Key not required</v>
      </c>
      <c r="E75" s="1505"/>
      <c r="F75" s="1505"/>
      <c r="G75" s="1505"/>
      <c r="H75" s="1505"/>
      <c r="I75" s="1505"/>
      <c r="J75" s="23"/>
      <c r="K75" s="600"/>
      <c r="L75" s="23"/>
    </row>
    <row r="76" spans="2:12" ht="12.75">
      <c r="B76" s="599"/>
      <c r="C76" s="3"/>
      <c r="D76" s="324"/>
      <c r="E76" s="604"/>
      <c r="F76" s="605"/>
      <c r="G76" s="324"/>
      <c r="H76" s="23"/>
      <c r="I76" s="23"/>
      <c r="J76" s="23"/>
      <c r="K76" s="600"/>
      <c r="L76" s="23"/>
    </row>
    <row r="77" spans="2:11" ht="12.75">
      <c r="B77" s="599"/>
      <c r="C77" s="3"/>
      <c r="D77" s="398" t="s">
        <v>566</v>
      </c>
      <c r="E77" s="579" t="s">
        <v>609</v>
      </c>
      <c r="F77" s="579"/>
      <c r="G77" s="579"/>
      <c r="H77" s="579"/>
      <c r="I77" s="23"/>
      <c r="J77" s="23"/>
      <c r="K77" s="600"/>
    </row>
    <row r="78" spans="2:11" ht="12.75">
      <c r="B78" s="599"/>
      <c r="C78" s="3"/>
      <c r="D78" s="1482" t="s">
        <v>648</v>
      </c>
      <c r="E78" s="1468" t="s">
        <v>610</v>
      </c>
      <c r="F78" s="1466" t="s">
        <v>611</v>
      </c>
      <c r="G78" s="1466"/>
      <c r="H78" s="632">
        <v>0</v>
      </c>
      <c r="I78" s="23"/>
      <c r="J78" s="23"/>
      <c r="K78" s="600"/>
    </row>
    <row r="79" spans="2:11" ht="12.75">
      <c r="B79" s="599"/>
      <c r="C79" s="3"/>
      <c r="D79" s="1482"/>
      <c r="E79" s="1469"/>
      <c r="F79" s="1466" t="s">
        <v>136</v>
      </c>
      <c r="G79" s="1466"/>
      <c r="H79" s="632">
        <v>0</v>
      </c>
      <c r="I79" s="23"/>
      <c r="J79" s="23"/>
      <c r="K79" s="600"/>
    </row>
    <row r="80" spans="2:11" ht="12.75">
      <c r="B80" s="599"/>
      <c r="C80" s="3"/>
      <c r="D80" s="436" t="s">
        <v>649</v>
      </c>
      <c r="E80" s="580" t="s">
        <v>612</v>
      </c>
      <c r="F80" s="1466" t="s">
        <v>215</v>
      </c>
      <c r="G80" s="1466"/>
      <c r="H80" s="636">
        <v>0</v>
      </c>
      <c r="I80" s="23"/>
      <c r="J80" s="23"/>
      <c r="K80" s="600"/>
    </row>
    <row r="81" spans="2:11" ht="15.75">
      <c r="B81" s="599"/>
      <c r="C81" s="3"/>
      <c r="D81" s="436" t="s">
        <v>650</v>
      </c>
      <c r="E81" s="580" t="s">
        <v>613</v>
      </c>
      <c r="F81" s="1466" t="s">
        <v>614</v>
      </c>
      <c r="G81" s="1466"/>
      <c r="H81" s="636">
        <v>0</v>
      </c>
      <c r="I81" s="23"/>
      <c r="J81" s="23"/>
      <c r="K81" s="600"/>
    </row>
    <row r="82" spans="2:11" ht="15.75">
      <c r="B82" s="599"/>
      <c r="C82" s="3"/>
      <c r="D82" s="436" t="s">
        <v>651</v>
      </c>
      <c r="E82" s="580" t="s">
        <v>613</v>
      </c>
      <c r="F82" s="1466" t="s">
        <v>646</v>
      </c>
      <c r="G82" s="1466"/>
      <c r="H82" s="637">
        <f>H81+H79+(H80*TAN(H11))</f>
        <v>0</v>
      </c>
      <c r="I82" s="23"/>
      <c r="J82" s="23"/>
      <c r="K82" s="600"/>
    </row>
    <row r="83" spans="2:11" ht="15.75">
      <c r="B83" s="599"/>
      <c r="C83" s="3"/>
      <c r="D83" s="436" t="s">
        <v>634</v>
      </c>
      <c r="E83" s="580" t="s">
        <v>615</v>
      </c>
      <c r="F83" s="1466" t="s">
        <v>621</v>
      </c>
      <c r="G83" s="1466"/>
      <c r="H83" s="634">
        <f>(H21*H8*((H82^2)-(H81^2)))/2</f>
        <v>0</v>
      </c>
      <c r="I83" s="23"/>
      <c r="J83" s="23"/>
      <c r="K83" s="600"/>
    </row>
    <row r="84" spans="2:12" ht="12.75">
      <c r="B84" s="599"/>
      <c r="C84" s="3"/>
      <c r="D84" s="324"/>
      <c r="E84" s="44"/>
      <c r="F84" s="129"/>
      <c r="G84" s="324"/>
      <c r="H84" s="23"/>
      <c r="I84" s="23"/>
      <c r="J84" s="23"/>
      <c r="K84" s="600"/>
      <c r="L84" s="23"/>
    </row>
    <row r="85" spans="2:12" ht="12.75">
      <c r="B85" s="599"/>
      <c r="C85" s="3"/>
      <c r="D85" s="1497" t="s">
        <v>567</v>
      </c>
      <c r="E85" s="571" t="s">
        <v>617</v>
      </c>
      <c r="F85" s="615"/>
      <c r="G85" s="615"/>
      <c r="H85" s="612"/>
      <c r="I85" s="23"/>
      <c r="J85" s="23"/>
      <c r="K85" s="600"/>
      <c r="L85" s="23"/>
    </row>
    <row r="86" spans="2:12" ht="15.75">
      <c r="B86" s="599"/>
      <c r="C86" s="3"/>
      <c r="D86" s="1498"/>
      <c r="E86" s="571" t="s">
        <v>616</v>
      </c>
      <c r="F86" s="615"/>
      <c r="G86" s="588">
        <f>(0.9*(I70+H83))/I69</f>
        <v>1.741645161290322</v>
      </c>
      <c r="H86" s="578" t="s">
        <v>665</v>
      </c>
      <c r="I86" s="23"/>
      <c r="J86" s="23"/>
      <c r="K86" s="600"/>
      <c r="L86" s="23"/>
    </row>
    <row r="87" spans="2:12" ht="12.75">
      <c r="B87" s="599"/>
      <c r="C87" s="3"/>
      <c r="D87" s="1499"/>
      <c r="E87" s="1501" t="str">
        <f>IF(G86&gt;=1.4,"Safe against Sliding","Unsafe against Sliding. Shear Key Required")</f>
        <v>Safe against Sliding</v>
      </c>
      <c r="F87" s="1502"/>
      <c r="G87" s="1502"/>
      <c r="H87" s="1503"/>
      <c r="I87" s="23"/>
      <c r="J87" s="23"/>
      <c r="K87" s="600"/>
      <c r="L87" s="23"/>
    </row>
    <row r="88" spans="2:12" ht="13.5" thickBot="1">
      <c r="B88" s="599"/>
      <c r="C88" s="587"/>
      <c r="D88" s="586"/>
      <c r="E88" s="590"/>
      <c r="F88" s="586"/>
      <c r="G88" s="586"/>
      <c r="H88" s="590"/>
      <c r="I88" s="590"/>
      <c r="J88" s="590"/>
      <c r="K88" s="600"/>
      <c r="L88" s="23"/>
    </row>
    <row r="89" spans="2:12" ht="12.75">
      <c r="B89" s="599"/>
      <c r="C89" s="3"/>
      <c r="D89" s="324"/>
      <c r="E89" s="23"/>
      <c r="F89" s="324"/>
      <c r="G89" s="324"/>
      <c r="H89" s="23"/>
      <c r="I89" s="23"/>
      <c r="J89" s="23"/>
      <c r="K89" s="600"/>
      <c r="L89" s="23"/>
    </row>
    <row r="90" spans="2:12" ht="12.75">
      <c r="B90" s="599"/>
      <c r="C90" s="18">
        <v>6</v>
      </c>
      <c r="D90" s="1472" t="s">
        <v>622</v>
      </c>
      <c r="E90" s="1472"/>
      <c r="F90" s="1472"/>
      <c r="G90" s="1472"/>
      <c r="H90" s="23"/>
      <c r="I90" s="23"/>
      <c r="J90" s="23"/>
      <c r="K90" s="600"/>
      <c r="L90" s="23"/>
    </row>
    <row r="91" spans="2:11" ht="12.75">
      <c r="B91" s="599"/>
      <c r="C91" s="3"/>
      <c r="D91" s="436" t="s">
        <v>558</v>
      </c>
      <c r="E91" s="571" t="s">
        <v>623</v>
      </c>
      <c r="F91" s="1504" t="s">
        <v>624</v>
      </c>
      <c r="G91" s="1504"/>
      <c r="H91" s="302">
        <f>G58</f>
        <v>119.98</v>
      </c>
      <c r="I91" s="23"/>
      <c r="J91" s="23"/>
      <c r="K91" s="600"/>
    </row>
    <row r="92" spans="2:11" s="524" customFormat="1" ht="12.75" customHeight="1">
      <c r="B92" s="606"/>
      <c r="C92" s="472"/>
      <c r="D92" s="199" t="s">
        <v>560</v>
      </c>
      <c r="E92" s="580" t="s">
        <v>630</v>
      </c>
      <c r="F92" s="1506" t="s">
        <v>625</v>
      </c>
      <c r="G92" s="1506"/>
      <c r="H92" s="273">
        <f>(J58+J47)/H91</f>
        <v>1.1931738623103851</v>
      </c>
      <c r="I92" s="324"/>
      <c r="J92" s="324"/>
      <c r="K92" s="607"/>
    </row>
    <row r="93" spans="2:11" ht="12.75">
      <c r="B93" s="599"/>
      <c r="C93" s="3"/>
      <c r="D93" s="199" t="s">
        <v>562</v>
      </c>
      <c r="E93" s="643" t="s">
        <v>626</v>
      </c>
      <c r="F93" s="1218" t="s">
        <v>627</v>
      </c>
      <c r="G93" s="1218"/>
      <c r="H93" s="273">
        <f>H92-(J29/2)</f>
        <v>0.19317386231038514</v>
      </c>
      <c r="I93" s="23"/>
      <c r="J93" s="23"/>
      <c r="K93" s="600"/>
    </row>
    <row r="94" spans="2:11" ht="12.75">
      <c r="B94" s="599"/>
      <c r="C94" s="3"/>
      <c r="D94" s="1501" t="str">
        <f>IF(H93&lt;J29/6,"Eccentricity lies within middle third of the base hence OK","Eccentricity lies outside the middle third of the base. Revise the base dimensions")</f>
        <v>Eccentricity lies within middle third of the base hence OK</v>
      </c>
      <c r="E94" s="1502"/>
      <c r="F94" s="1502"/>
      <c r="G94" s="1502"/>
      <c r="H94" s="1503"/>
      <c r="I94" s="23"/>
      <c r="J94" s="23"/>
      <c r="K94" s="600"/>
    </row>
    <row r="95" spans="2:11" ht="12.75">
      <c r="B95" s="599"/>
      <c r="C95" s="3"/>
      <c r="D95" s="324"/>
      <c r="E95" s="23"/>
      <c r="F95" s="324"/>
      <c r="G95" s="23"/>
      <c r="H95" s="23"/>
      <c r="I95" s="23"/>
      <c r="J95" s="23"/>
      <c r="K95" s="600"/>
    </row>
    <row r="96" spans="2:11" ht="15.75" customHeight="1">
      <c r="B96" s="599"/>
      <c r="C96" s="3"/>
      <c r="D96" s="656" t="s">
        <v>566</v>
      </c>
      <c r="E96" s="639" t="s">
        <v>666</v>
      </c>
      <c r="F96" s="580" t="s">
        <v>628</v>
      </c>
      <c r="G96" s="581"/>
      <c r="H96" s="638">
        <f>(H91/J29)*(1+(6*H93/J29))</f>
        <v>94.75550000000001</v>
      </c>
      <c r="I96" s="23"/>
      <c r="J96" s="23"/>
      <c r="K96" s="600"/>
    </row>
    <row r="97" spans="2:11" ht="15.75">
      <c r="B97" s="599"/>
      <c r="C97" s="3"/>
      <c r="D97" s="657"/>
      <c r="E97" s="640"/>
      <c r="F97" s="580" t="s">
        <v>629</v>
      </c>
      <c r="G97" s="581"/>
      <c r="H97" s="638">
        <f>(H91/J29)*(1-(6*H93/J29))</f>
        <v>25.22449999999999</v>
      </c>
      <c r="I97" s="23"/>
      <c r="J97" s="23"/>
      <c r="K97" s="600"/>
    </row>
    <row r="98" spans="2:11" ht="12.75">
      <c r="B98" s="599"/>
      <c r="C98" s="3"/>
      <c r="D98" s="1501" t="str">
        <f>IF(H96&lt;H9,"Max Pressure qmax&lt;SBC hence pressure on base is OK","qmax &gt; SBC hence revice the base dimensions")</f>
        <v>Max Pressure qmax&lt;SBC hence pressure on base is OK</v>
      </c>
      <c r="E98" s="1502"/>
      <c r="F98" s="1502"/>
      <c r="G98" s="1502"/>
      <c r="H98" s="1503"/>
      <c r="I98" s="23"/>
      <c r="J98" s="23"/>
      <c r="K98" s="600"/>
    </row>
    <row r="99" spans="2:11" ht="12.75">
      <c r="B99" s="599"/>
      <c r="C99" s="3"/>
      <c r="D99" s="611"/>
      <c r="E99" s="318"/>
      <c r="F99" s="318"/>
      <c r="G99" s="318"/>
      <c r="H99" s="318"/>
      <c r="I99" s="23"/>
      <c r="J99" s="23"/>
      <c r="K99" s="600"/>
    </row>
    <row r="100" spans="2:11" ht="15.75" customHeight="1">
      <c r="B100" s="599"/>
      <c r="C100" s="3"/>
      <c r="D100" s="436" t="s">
        <v>567</v>
      </c>
      <c r="E100" s="641" t="s">
        <v>681</v>
      </c>
      <c r="F100" s="642" t="s">
        <v>680</v>
      </c>
      <c r="G100" s="642"/>
      <c r="H100" s="638">
        <f>H96-(((H96-H97)/J29)*J27)</f>
        <v>87.8024</v>
      </c>
      <c r="I100" s="23"/>
      <c r="J100" s="23"/>
      <c r="K100" s="600"/>
    </row>
    <row r="101" spans="2:12" ht="13.5" thickBot="1">
      <c r="B101" s="599"/>
      <c r="C101" s="587"/>
      <c r="D101" s="586"/>
      <c r="E101" s="590"/>
      <c r="F101" s="586"/>
      <c r="G101" s="586"/>
      <c r="H101" s="590"/>
      <c r="I101" s="590"/>
      <c r="J101" s="590"/>
      <c r="K101" s="600"/>
      <c r="L101" s="23"/>
    </row>
    <row r="102" spans="2:11" ht="12.75">
      <c r="B102" s="599"/>
      <c r="C102" s="3"/>
      <c r="D102" s="324"/>
      <c r="E102" s="23"/>
      <c r="F102" s="324"/>
      <c r="G102" s="324"/>
      <c r="H102" s="23"/>
      <c r="I102" s="23"/>
      <c r="J102" s="23"/>
      <c r="K102" s="600"/>
    </row>
    <row r="103" spans="2:11" s="5" customFormat="1" ht="12.75">
      <c r="B103" s="654"/>
      <c r="C103" s="906">
        <v>7</v>
      </c>
      <c r="D103" s="1500" t="s">
        <v>668</v>
      </c>
      <c r="E103" s="1500"/>
      <c r="F103" s="1500"/>
      <c r="G103" s="324"/>
      <c r="H103" s="4"/>
      <c r="I103" s="4"/>
      <c r="J103" s="4"/>
      <c r="K103" s="652"/>
    </row>
    <row r="104" spans="2:11" s="5" customFormat="1" ht="12.75">
      <c r="B104" s="654"/>
      <c r="C104" s="906"/>
      <c r="D104" s="624"/>
      <c r="E104" s="906"/>
      <c r="F104" s="906"/>
      <c r="G104" s="324"/>
      <c r="H104" s="4"/>
      <c r="I104" s="4"/>
      <c r="J104" s="4"/>
      <c r="K104" s="652"/>
    </row>
    <row r="105" spans="2:11" s="5" customFormat="1" ht="12.75">
      <c r="B105" s="654"/>
      <c r="C105" s="906"/>
      <c r="D105" s="1528" t="s">
        <v>244</v>
      </c>
      <c r="E105" s="1528"/>
      <c r="F105" s="906"/>
      <c r="G105" s="324"/>
      <c r="H105" s="4"/>
      <c r="I105" s="4"/>
      <c r="J105" s="4"/>
      <c r="K105" s="652"/>
    </row>
    <row r="106" spans="2:11" s="5" customFormat="1" ht="12.75">
      <c r="B106" s="654"/>
      <c r="C106" s="906"/>
      <c r="D106" s="436" t="s">
        <v>558</v>
      </c>
      <c r="E106" s="580" t="s">
        <v>678</v>
      </c>
      <c r="F106" s="581"/>
      <c r="G106" s="71">
        <v>20</v>
      </c>
      <c r="H106" s="4"/>
      <c r="I106" s="4"/>
      <c r="J106" s="4"/>
      <c r="K106" s="652"/>
    </row>
    <row r="107" spans="2:11" s="5" customFormat="1" ht="12.75">
      <c r="B107" s="654"/>
      <c r="C107" s="906"/>
      <c r="D107" s="436" t="s">
        <v>560</v>
      </c>
      <c r="E107" s="580" t="s">
        <v>679</v>
      </c>
      <c r="F107" s="581"/>
      <c r="G107" s="71">
        <v>415</v>
      </c>
      <c r="H107" s="4"/>
      <c r="I107" s="4"/>
      <c r="J107" s="4"/>
      <c r="K107" s="652"/>
    </row>
    <row r="108" spans="2:11" s="4" customFormat="1" ht="12.75">
      <c r="B108" s="654"/>
      <c r="C108" s="906"/>
      <c r="D108" s="398"/>
      <c r="E108" s="906"/>
      <c r="F108" s="906"/>
      <c r="K108" s="652"/>
    </row>
    <row r="109" spans="2:11" ht="12.75">
      <c r="B109" s="599"/>
      <c r="C109" s="3"/>
      <c r="D109" s="436" t="s">
        <v>562</v>
      </c>
      <c r="E109" s="580" t="s">
        <v>725</v>
      </c>
      <c r="F109" s="574" t="s">
        <v>8</v>
      </c>
      <c r="G109" s="575">
        <f>IF(G106=15,5,IF(G106=20,7,IF(G106=25,8.5,IF(G106=30,10))))</f>
        <v>7</v>
      </c>
      <c r="H109" s="23"/>
      <c r="I109" s="23"/>
      <c r="J109" s="23"/>
      <c r="K109" s="600"/>
    </row>
    <row r="110" spans="2:11" ht="12.75">
      <c r="B110" s="599"/>
      <c r="C110" s="3"/>
      <c r="D110" s="436" t="s">
        <v>566</v>
      </c>
      <c r="E110" s="580" t="s">
        <v>671</v>
      </c>
      <c r="F110" s="574" t="s">
        <v>267</v>
      </c>
      <c r="G110" s="325">
        <f>IF(G107=250,140,IF(G107=415,230,IF(G107=500,275)))</f>
        <v>230</v>
      </c>
      <c r="H110" s="23"/>
      <c r="I110" s="23"/>
      <c r="J110" s="23"/>
      <c r="K110" s="600"/>
    </row>
    <row r="111" spans="2:11" ht="12.75">
      <c r="B111" s="599"/>
      <c r="C111" s="3"/>
      <c r="D111" s="436" t="s">
        <v>567</v>
      </c>
      <c r="E111" s="580" t="s">
        <v>669</v>
      </c>
      <c r="F111" s="574" t="s">
        <v>674</v>
      </c>
      <c r="G111" s="908">
        <f>280/(3*G109)</f>
        <v>13.333333333333334</v>
      </c>
      <c r="H111" s="23"/>
      <c r="I111" s="23"/>
      <c r="J111" s="23"/>
      <c r="K111" s="600"/>
    </row>
    <row r="112" spans="2:11" ht="12.75">
      <c r="B112" s="599"/>
      <c r="C112" s="3"/>
      <c r="D112" s="436" t="s">
        <v>568</v>
      </c>
      <c r="E112" s="580" t="s">
        <v>670</v>
      </c>
      <c r="F112" s="574" t="s">
        <v>675</v>
      </c>
      <c r="G112" s="572">
        <f>(G111*G109)/(((G111*G109)+G110))</f>
        <v>0.28865979381443296</v>
      </c>
      <c r="H112" s="23"/>
      <c r="I112" s="23"/>
      <c r="J112" s="23"/>
      <c r="K112" s="600"/>
    </row>
    <row r="113" spans="2:11" ht="12.75">
      <c r="B113" s="599"/>
      <c r="C113" s="3"/>
      <c r="D113" s="436" t="s">
        <v>569</v>
      </c>
      <c r="E113" s="580" t="s">
        <v>673</v>
      </c>
      <c r="F113" s="574" t="s">
        <v>676</v>
      </c>
      <c r="G113" s="572">
        <f>1-(G112/3)</f>
        <v>0.9037800687285223</v>
      </c>
      <c r="H113" s="23"/>
      <c r="I113" s="23"/>
      <c r="J113" s="23"/>
      <c r="K113" s="600"/>
    </row>
    <row r="114" spans="2:11" ht="12.75">
      <c r="B114" s="599"/>
      <c r="C114" s="3"/>
      <c r="D114" s="436" t="s">
        <v>643</v>
      </c>
      <c r="E114" s="580" t="s">
        <v>672</v>
      </c>
      <c r="F114" s="574" t="s">
        <v>677</v>
      </c>
      <c r="G114" s="572">
        <f>(G109*G113*G112)/2</f>
        <v>0.9130973890246925</v>
      </c>
      <c r="H114" s="23"/>
      <c r="I114" s="23"/>
      <c r="J114" s="23"/>
      <c r="K114" s="600"/>
    </row>
    <row r="115" spans="2:11" ht="13.5" thickBot="1">
      <c r="B115" s="599"/>
      <c r="C115" s="587"/>
      <c r="D115" s="589"/>
      <c r="E115" s="594"/>
      <c r="F115" s="594"/>
      <c r="G115" s="594"/>
      <c r="H115" s="590"/>
      <c r="I115" s="590"/>
      <c r="J115" s="590"/>
      <c r="K115" s="600"/>
    </row>
    <row r="116" spans="2:11" ht="12.75">
      <c r="B116" s="599"/>
      <c r="C116" s="3"/>
      <c r="D116" s="398"/>
      <c r="E116" s="49"/>
      <c r="F116" s="49"/>
      <c r="G116" s="49"/>
      <c r="H116" s="23"/>
      <c r="I116" s="23"/>
      <c r="J116" s="23"/>
      <c r="K116" s="600"/>
    </row>
    <row r="117" spans="2:11" ht="12.75">
      <c r="B117" s="599"/>
      <c r="C117" s="3"/>
      <c r="D117" s="1500" t="s">
        <v>682</v>
      </c>
      <c r="E117" s="1500"/>
      <c r="F117" s="579"/>
      <c r="G117" s="579"/>
      <c r="H117" s="23"/>
      <c r="I117" s="23"/>
      <c r="J117" s="23"/>
      <c r="K117" s="600"/>
    </row>
    <row r="118" spans="2:11" ht="12.75">
      <c r="B118" s="599"/>
      <c r="C118" s="3"/>
      <c r="D118" s="398" t="s">
        <v>558</v>
      </c>
      <c r="E118" s="334" t="s">
        <v>685</v>
      </c>
      <c r="F118" s="324"/>
      <c r="G118" s="324"/>
      <c r="H118" s="23"/>
      <c r="I118" s="23"/>
      <c r="J118" s="23"/>
      <c r="K118" s="600"/>
    </row>
    <row r="119" spans="2:11" ht="30.75" customHeight="1">
      <c r="B119" s="599"/>
      <c r="C119" s="3"/>
      <c r="D119" s="436" t="s">
        <v>648</v>
      </c>
      <c r="E119" s="1409" t="s">
        <v>591</v>
      </c>
      <c r="F119" s="1410"/>
      <c r="G119" s="1411"/>
      <c r="H119" s="1518" t="s">
        <v>701</v>
      </c>
      <c r="I119" s="1519"/>
      <c r="J119" s="610" t="s">
        <v>1</v>
      </c>
      <c r="K119" s="600"/>
    </row>
    <row r="120" spans="2:11" ht="15.75">
      <c r="B120" s="599"/>
      <c r="C120" s="3"/>
      <c r="D120" s="436" t="s">
        <v>558</v>
      </c>
      <c r="E120" s="620" t="s">
        <v>728</v>
      </c>
      <c r="F120" s="902" t="s">
        <v>718</v>
      </c>
      <c r="G120" s="644">
        <f>IF(H15=0,0,(H19*H15*((H7-J28))))</f>
        <v>3.6000000000000014</v>
      </c>
      <c r="H120" s="907" t="s">
        <v>702</v>
      </c>
      <c r="I120" s="273">
        <f>(H7-J28)/2</f>
        <v>1.35</v>
      </c>
      <c r="J120" s="635">
        <f>G120*I120</f>
        <v>4.860000000000002</v>
      </c>
      <c r="K120" s="600"/>
    </row>
    <row r="121" spans="2:11" ht="15.75">
      <c r="B121" s="599"/>
      <c r="C121" s="3"/>
      <c r="D121" s="436" t="s">
        <v>560</v>
      </c>
      <c r="E121" s="621" t="s">
        <v>729</v>
      </c>
      <c r="F121" s="902" t="s">
        <v>717</v>
      </c>
      <c r="G121" s="644">
        <f>((H19*H8*((J36-J28)^2)/2))</f>
        <v>21.870000000000008</v>
      </c>
      <c r="H121" s="907" t="s">
        <v>703</v>
      </c>
      <c r="I121" s="273">
        <f>(J36-J28)/3</f>
        <v>0.9</v>
      </c>
      <c r="J121" s="635">
        <f>G121*I121</f>
        <v>19.683000000000007</v>
      </c>
      <c r="K121" s="600"/>
    </row>
    <row r="122" spans="2:11" ht="15.75">
      <c r="B122" s="599"/>
      <c r="C122" s="3"/>
      <c r="D122" s="1512" t="s">
        <v>704</v>
      </c>
      <c r="E122" s="1517"/>
      <c r="F122" s="1513"/>
      <c r="G122" s="645">
        <f>SUM(G120:G121)</f>
        <v>25.47000000000001</v>
      </c>
      <c r="H122" s="1512" t="s">
        <v>700</v>
      </c>
      <c r="I122" s="1513"/>
      <c r="J122" s="646">
        <f>SUM(J120:J121)</f>
        <v>24.54300000000001</v>
      </c>
      <c r="K122" s="600"/>
    </row>
    <row r="123" spans="2:11" s="23" customFormat="1" ht="12.75">
      <c r="B123" s="599"/>
      <c r="C123" s="3"/>
      <c r="D123" s="324"/>
      <c r="E123" s="49"/>
      <c r="F123" s="3"/>
      <c r="G123" s="614"/>
      <c r="H123" s="614"/>
      <c r="I123" s="614"/>
      <c r="J123" s="905"/>
      <c r="K123" s="600"/>
    </row>
    <row r="124" spans="2:11" ht="15.75" customHeight="1">
      <c r="B124" s="599"/>
      <c r="C124" s="3"/>
      <c r="D124" s="436" t="s">
        <v>562</v>
      </c>
      <c r="E124" s="571" t="s">
        <v>688</v>
      </c>
      <c r="F124" s="580" t="s">
        <v>691</v>
      </c>
      <c r="G124" s="273">
        <f>(SQRT(J122*10^6)/(G114*1000))/1000</f>
        <v>0.005425586886542141</v>
      </c>
      <c r="H124" s="23"/>
      <c r="I124" s="23"/>
      <c r="J124" s="23"/>
      <c r="K124" s="600"/>
    </row>
    <row r="125" spans="2:11" ht="12.75">
      <c r="B125" s="599"/>
      <c r="C125" s="3"/>
      <c r="D125" s="436" t="s">
        <v>566</v>
      </c>
      <c r="E125" s="571" t="s">
        <v>689</v>
      </c>
      <c r="F125" s="574" t="s">
        <v>690</v>
      </c>
      <c r="G125" s="273">
        <f>J27</f>
        <v>0.2</v>
      </c>
      <c r="H125" s="23"/>
      <c r="I125" s="23"/>
      <c r="J125" s="23"/>
      <c r="K125" s="600"/>
    </row>
    <row r="126" spans="2:11" ht="12.75">
      <c r="B126" s="599"/>
      <c r="C126" s="3"/>
      <c r="D126" s="1523" t="str">
        <f>IF(G124&lt;G125,"Thickness of Stem is OK","Revise the thickness of Stem")</f>
        <v>Thickness of Stem is OK</v>
      </c>
      <c r="E126" s="1523"/>
      <c r="F126" s="1523"/>
      <c r="G126" s="1523"/>
      <c r="H126" s="23"/>
      <c r="I126" s="23"/>
      <c r="J126" s="23"/>
      <c r="K126" s="600"/>
    </row>
    <row r="127" spans="2:11" ht="12.75">
      <c r="B127" s="599"/>
      <c r="C127" s="3"/>
      <c r="D127" s="324"/>
      <c r="E127" s="23"/>
      <c r="F127" s="324"/>
      <c r="G127" s="324"/>
      <c r="H127" s="23"/>
      <c r="I127" s="23"/>
      <c r="J127" s="23"/>
      <c r="K127" s="600"/>
    </row>
    <row r="128" spans="2:11" ht="15.75">
      <c r="B128" s="599"/>
      <c r="C128" s="3"/>
      <c r="D128" s="436" t="s">
        <v>567</v>
      </c>
      <c r="E128" s="571" t="s">
        <v>683</v>
      </c>
      <c r="F128" s="1467" t="s">
        <v>692</v>
      </c>
      <c r="G128" s="1467"/>
      <c r="H128" s="626">
        <f>(J122*10^3)/(G110*G113*(G125-0.06))</f>
        <v>843.3522660179962</v>
      </c>
      <c r="I128" s="23"/>
      <c r="J128" s="23"/>
      <c r="K128" s="600"/>
    </row>
    <row r="129" spans="2:11" ht="12.75">
      <c r="B129" s="599"/>
      <c r="C129" s="3"/>
      <c r="D129" s="436" t="s">
        <v>568</v>
      </c>
      <c r="E129" s="571" t="s">
        <v>697</v>
      </c>
      <c r="F129" s="647">
        <v>12</v>
      </c>
      <c r="G129" s="616">
        <v>125</v>
      </c>
      <c r="H129" s="626">
        <f>((((PI()*F129^2)/4)*1000)/G129)</f>
        <v>904.7786842338604</v>
      </c>
      <c r="I129" s="23"/>
      <c r="J129" s="23"/>
      <c r="K129" s="600"/>
    </row>
    <row r="130" spans="2:11" ht="15.75">
      <c r="B130" s="599"/>
      <c r="C130" s="3"/>
      <c r="D130" s="436" t="s">
        <v>569</v>
      </c>
      <c r="E130" s="571" t="s">
        <v>349</v>
      </c>
      <c r="F130" s="1467" t="s">
        <v>695</v>
      </c>
      <c r="G130" s="1467"/>
      <c r="H130" s="651">
        <f>(H128*100)/(1000*((J27*1000)-60))</f>
        <v>0.6023944757271401</v>
      </c>
      <c r="I130" s="617"/>
      <c r="J130" s="23"/>
      <c r="K130" s="600"/>
    </row>
    <row r="131" spans="2:11" ht="12.75">
      <c r="B131" s="599"/>
      <c r="C131" s="3"/>
      <c r="D131" s="1527" t="str">
        <f>IF(H129&gt;H128,"Steel OK","Revise Steel")</f>
        <v>Steel OK</v>
      </c>
      <c r="E131" s="1527"/>
      <c r="F131" s="1527"/>
      <c r="G131" s="1527"/>
      <c r="H131" s="1527"/>
      <c r="I131" s="617"/>
      <c r="J131" s="23"/>
      <c r="K131" s="600"/>
    </row>
    <row r="132" spans="2:11" ht="12.75">
      <c r="B132" s="599"/>
      <c r="C132" s="3"/>
      <c r="D132" s="324"/>
      <c r="E132" s="23"/>
      <c r="F132" s="324"/>
      <c r="G132" s="324"/>
      <c r="H132" s="23"/>
      <c r="I132" s="23"/>
      <c r="J132" s="23"/>
      <c r="K132" s="600"/>
    </row>
    <row r="133" spans="2:11" ht="15.75">
      <c r="B133" s="599"/>
      <c r="C133" s="3"/>
      <c r="D133" s="1476" t="s">
        <v>737</v>
      </c>
      <c r="E133" s="620" t="s">
        <v>730</v>
      </c>
      <c r="F133" s="580" t="s">
        <v>719</v>
      </c>
      <c r="G133" s="581"/>
      <c r="H133" s="302">
        <f>(H19*H15*(H7-J28-(J27-0.06)))</f>
        <v>3.4133333333333344</v>
      </c>
      <c r="I133" s="23"/>
      <c r="J133" s="23"/>
      <c r="K133" s="600"/>
    </row>
    <row r="134" spans="2:11" ht="15.75">
      <c r="B134" s="599"/>
      <c r="C134" s="3"/>
      <c r="D134" s="1514"/>
      <c r="E134" s="621" t="s">
        <v>731</v>
      </c>
      <c r="F134" s="580" t="s">
        <v>720</v>
      </c>
      <c r="G134" s="581"/>
      <c r="H134" s="302">
        <f>(H19*H8*((J36-J28-(J27-0.06))^2/2))</f>
        <v>19.660800000000005</v>
      </c>
      <c r="I134" s="23"/>
      <c r="J134" s="23"/>
      <c r="K134" s="600"/>
    </row>
    <row r="135" spans="2:11" ht="12.75">
      <c r="B135" s="599"/>
      <c r="C135" s="3"/>
      <c r="D135" s="436" t="s">
        <v>738</v>
      </c>
      <c r="E135" s="571" t="s">
        <v>684</v>
      </c>
      <c r="F135" s="580" t="s">
        <v>693</v>
      </c>
      <c r="G135" s="581"/>
      <c r="H135" s="648">
        <f>((H133+H134)/(1*(J27-0.06)*1000))</f>
        <v>0.16481523809523813</v>
      </c>
      <c r="I135" s="23"/>
      <c r="J135" s="23"/>
      <c r="K135" s="600"/>
    </row>
    <row r="136" spans="2:11" ht="12.75">
      <c r="B136" s="599"/>
      <c r="C136" s="3"/>
      <c r="D136" s="436" t="s">
        <v>739</v>
      </c>
      <c r="E136" s="571" t="s">
        <v>694</v>
      </c>
      <c r="F136" s="580" t="s">
        <v>696</v>
      </c>
      <c r="G136" s="581"/>
      <c r="H136" s="649">
        <v>0.32</v>
      </c>
      <c r="I136" s="23"/>
      <c r="J136" s="23"/>
      <c r="K136" s="600"/>
    </row>
    <row r="137" spans="2:11" ht="12.75">
      <c r="B137" s="599"/>
      <c r="C137" s="3"/>
      <c r="D137" s="324"/>
      <c r="E137" s="23"/>
      <c r="F137" s="324"/>
      <c r="G137" s="324"/>
      <c r="H137" s="23"/>
      <c r="I137" s="23"/>
      <c r="J137" s="23"/>
      <c r="K137" s="600"/>
    </row>
    <row r="138" spans="2:11" ht="13.5" thickBot="1">
      <c r="B138" s="599"/>
      <c r="C138" s="587"/>
      <c r="D138" s="586"/>
      <c r="E138" s="590"/>
      <c r="F138" s="586"/>
      <c r="G138" s="586"/>
      <c r="H138" s="590"/>
      <c r="I138" s="590"/>
      <c r="J138" s="590"/>
      <c r="K138" s="600"/>
    </row>
    <row r="139" spans="2:11" ht="12.75">
      <c r="B139" s="599"/>
      <c r="C139" s="3"/>
      <c r="D139" s="324"/>
      <c r="E139" s="23"/>
      <c r="F139" s="324"/>
      <c r="G139" s="324"/>
      <c r="H139" s="23"/>
      <c r="I139" s="23"/>
      <c r="J139" s="23"/>
      <c r="K139" s="600"/>
    </row>
    <row r="140" spans="2:11" ht="12.75">
      <c r="B140" s="599"/>
      <c r="C140" s="3"/>
      <c r="D140" s="398" t="s">
        <v>558</v>
      </c>
      <c r="E140" s="334" t="s">
        <v>698</v>
      </c>
      <c r="F140" s="324"/>
      <c r="G140" s="324"/>
      <c r="H140" s="23"/>
      <c r="I140" s="23"/>
      <c r="J140" s="23"/>
      <c r="K140" s="600"/>
    </row>
    <row r="141" spans="2:11" ht="12.75" customHeight="1">
      <c r="B141" s="599"/>
      <c r="C141" s="3"/>
      <c r="D141" s="436" t="s">
        <v>648</v>
      </c>
      <c r="E141" s="1409" t="s">
        <v>591</v>
      </c>
      <c r="F141" s="1410"/>
      <c r="G141" s="1411"/>
      <c r="H141" s="623"/>
      <c r="I141" s="623"/>
      <c r="J141" s="624"/>
      <c r="K141" s="600"/>
    </row>
    <row r="142" spans="2:11" ht="15.75" customHeight="1">
      <c r="B142" s="599"/>
      <c r="C142" s="3"/>
      <c r="D142" s="436" t="s">
        <v>558</v>
      </c>
      <c r="E142" s="620" t="s">
        <v>732</v>
      </c>
      <c r="F142" s="580" t="s">
        <v>733</v>
      </c>
      <c r="G142" s="908">
        <f>(H8*(J33-J28))</f>
        <v>52.60000000000001</v>
      </c>
      <c r="H142" s="384"/>
      <c r="I142" s="384"/>
      <c r="J142" s="1489"/>
      <c r="K142" s="600"/>
    </row>
    <row r="143" spans="2:11" ht="15.75">
      <c r="B143" s="599"/>
      <c r="C143" s="3"/>
      <c r="D143" s="436" t="s">
        <v>560</v>
      </c>
      <c r="E143" s="621" t="s">
        <v>734</v>
      </c>
      <c r="F143" s="571" t="s">
        <v>735</v>
      </c>
      <c r="G143" s="908">
        <f>H8*J35/2</f>
        <v>0</v>
      </c>
      <c r="H143" s="384"/>
      <c r="I143" s="384"/>
      <c r="J143" s="1489"/>
      <c r="K143" s="600"/>
    </row>
    <row r="144" spans="2:11" ht="15.75" customHeight="1">
      <c r="B144" s="599"/>
      <c r="C144" s="3"/>
      <c r="D144" s="436" t="s">
        <v>562</v>
      </c>
      <c r="E144" s="580" t="s">
        <v>721</v>
      </c>
      <c r="F144" s="902" t="s">
        <v>724</v>
      </c>
      <c r="G144" s="908">
        <f>J28*25</f>
        <v>7.5</v>
      </c>
      <c r="H144" s="384"/>
      <c r="I144" s="384"/>
      <c r="J144" s="1489"/>
      <c r="K144" s="600"/>
    </row>
    <row r="145" spans="2:11" ht="12.75">
      <c r="B145" s="599"/>
      <c r="C145" s="3"/>
      <c r="D145" s="1524" t="s">
        <v>699</v>
      </c>
      <c r="E145" s="1525"/>
      <c r="F145" s="1526"/>
      <c r="G145" s="608">
        <f>SUM(G142:G144)</f>
        <v>60.10000000000001</v>
      </c>
      <c r="H145" s="384"/>
      <c r="I145" s="384"/>
      <c r="J145" s="1489"/>
      <c r="K145" s="600"/>
    </row>
    <row r="146" spans="2:11" ht="12.75">
      <c r="B146" s="599"/>
      <c r="C146" s="3"/>
      <c r="D146" s="436" t="s">
        <v>568</v>
      </c>
      <c r="E146" s="1478" t="s">
        <v>722</v>
      </c>
      <c r="F146" s="1479"/>
      <c r="G146" s="908">
        <f>G145-H100</f>
        <v>-27.702399999999997</v>
      </c>
      <c r="H146" s="384"/>
      <c r="I146" s="384"/>
      <c r="J146" s="1489"/>
      <c r="K146" s="600"/>
    </row>
    <row r="147" spans="2:11" ht="12.75">
      <c r="B147" s="599"/>
      <c r="C147" s="3"/>
      <c r="D147" s="436" t="s">
        <v>567</v>
      </c>
      <c r="E147" s="1510"/>
      <c r="F147" s="1511"/>
      <c r="G147" s="908">
        <f>G145-H97</f>
        <v>34.87550000000002</v>
      </c>
      <c r="H147" s="384"/>
      <c r="I147" s="384"/>
      <c r="J147" s="1489"/>
      <c r="K147" s="600"/>
    </row>
    <row r="148" spans="2:11" ht="12.75">
      <c r="B148" s="599"/>
      <c r="C148" s="3"/>
      <c r="D148" s="1512" t="s">
        <v>723</v>
      </c>
      <c r="E148" s="1517"/>
      <c r="F148" s="1513"/>
      <c r="G148" s="608">
        <f>(J29*(G146+G147)/2)</f>
        <v>7.173100000000019</v>
      </c>
      <c r="H148" s="622"/>
      <c r="I148" s="619"/>
      <c r="J148" s="619"/>
      <c r="K148" s="600"/>
    </row>
    <row r="149" spans="2:11" ht="12.75">
      <c r="B149" s="599"/>
      <c r="C149" s="3"/>
      <c r="D149" s="1512" t="s">
        <v>103</v>
      </c>
      <c r="E149" s="1517"/>
      <c r="F149" s="1513"/>
      <c r="G149" s="608">
        <f>(G146*J29^2/2)+((1/2)*(G147-G146)*(J29^2)*(2/3))</f>
        <v>28.032400000000024</v>
      </c>
      <c r="H149" s="622"/>
      <c r="I149" s="619"/>
      <c r="J149" s="619"/>
      <c r="K149" s="600"/>
    </row>
    <row r="150" spans="2:11" ht="12.75">
      <c r="B150" s="599"/>
      <c r="C150" s="3"/>
      <c r="D150" s="436" t="s">
        <v>568</v>
      </c>
      <c r="E150" s="571" t="s">
        <v>736</v>
      </c>
      <c r="F150" s="612"/>
      <c r="G150" s="648">
        <f>((G148)/(1*(J28-0.06)*1000))</f>
        <v>0.029887916666666747</v>
      </c>
      <c r="H150" s="619"/>
      <c r="I150" s="23"/>
      <c r="J150" s="23"/>
      <c r="K150" s="600"/>
    </row>
    <row r="151" spans="2:11" s="23" customFormat="1" ht="12.75">
      <c r="B151" s="599"/>
      <c r="C151" s="3"/>
      <c r="D151" s="436" t="s">
        <v>569</v>
      </c>
      <c r="E151" s="650" t="s">
        <v>694</v>
      </c>
      <c r="F151" s="140"/>
      <c r="G151" s="649">
        <v>0.18</v>
      </c>
      <c r="H151" s="384" t="s">
        <v>696</v>
      </c>
      <c r="K151" s="600"/>
    </row>
    <row r="152" spans="2:11" ht="12.75">
      <c r="B152" s="599"/>
      <c r="C152" s="3"/>
      <c r="D152" s="324"/>
      <c r="E152" s="618"/>
      <c r="F152" s="618"/>
      <c r="G152" s="618"/>
      <c r="H152" s="618"/>
      <c r="I152" s="619"/>
      <c r="J152" s="618"/>
      <c r="K152" s="600"/>
    </row>
    <row r="153" spans="2:11" ht="12.75">
      <c r="B153" s="599"/>
      <c r="C153" s="3"/>
      <c r="D153" s="324"/>
      <c r="E153" s="49"/>
      <c r="F153" s="3"/>
      <c r="G153" s="614"/>
      <c r="H153" s="614"/>
      <c r="I153" s="614"/>
      <c r="J153" s="905"/>
      <c r="K153" s="600"/>
    </row>
    <row r="154" spans="2:11" ht="15.75" customHeight="1">
      <c r="B154" s="599"/>
      <c r="C154" s="3"/>
      <c r="D154" s="436" t="s">
        <v>643</v>
      </c>
      <c r="E154" s="571" t="s">
        <v>688</v>
      </c>
      <c r="F154" s="580" t="s">
        <v>691</v>
      </c>
      <c r="G154" s="637">
        <f>(SQRT((G149*10^6)/(G114*1000)))/1000</f>
        <v>0.1752151239923145</v>
      </c>
      <c r="H154" s="1529" t="str">
        <f>IF(G154&lt;G155,"Thickness of Stem is OK","Revise the thickness of Stem")</f>
        <v>Thickness of Stem is OK</v>
      </c>
      <c r="I154" s="23"/>
      <c r="J154" s="23"/>
      <c r="K154" s="600"/>
    </row>
    <row r="155" spans="2:11" ht="12.75">
      <c r="B155" s="599"/>
      <c r="C155" s="3"/>
      <c r="D155" s="436" t="s">
        <v>737</v>
      </c>
      <c r="E155" s="571" t="s">
        <v>689</v>
      </c>
      <c r="F155" s="574" t="s">
        <v>690</v>
      </c>
      <c r="G155" s="637">
        <v>0.65</v>
      </c>
      <c r="H155" s="1530"/>
      <c r="I155" s="23"/>
      <c r="J155" s="23"/>
      <c r="K155" s="600"/>
    </row>
    <row r="156" spans="2:11" ht="12.75">
      <c r="B156" s="599"/>
      <c r="C156" s="3"/>
      <c r="D156" s="324"/>
      <c r="E156" s="23"/>
      <c r="F156" s="324"/>
      <c r="G156" s="23"/>
      <c r="H156" s="23"/>
      <c r="I156" s="617"/>
      <c r="J156" s="23"/>
      <c r="K156" s="600"/>
    </row>
    <row r="157" spans="2:11" ht="15.75">
      <c r="B157" s="599"/>
      <c r="C157" s="3"/>
      <c r="D157" s="436" t="s">
        <v>738</v>
      </c>
      <c r="E157" s="571" t="s">
        <v>683</v>
      </c>
      <c r="F157" s="1515" t="s">
        <v>692</v>
      </c>
      <c r="G157" s="1516"/>
      <c r="H157" s="626">
        <f>(G149*10^3)/(G110*G113*(J28-0.06))</f>
        <v>561.8992395437268</v>
      </c>
      <c r="I157" s="23"/>
      <c r="J157" s="23"/>
      <c r="K157" s="600"/>
    </row>
    <row r="158" spans="2:11" ht="12.75">
      <c r="B158" s="599"/>
      <c r="C158" s="3"/>
      <c r="D158" s="436" t="s">
        <v>739</v>
      </c>
      <c r="E158" s="571" t="s">
        <v>697</v>
      </c>
      <c r="F158" s="647">
        <v>12</v>
      </c>
      <c r="G158" s="616">
        <v>150</v>
      </c>
      <c r="H158" s="626">
        <f>((((PI()*F158^2)/4)*1000)/G158)</f>
        <v>753.9822368615504</v>
      </c>
      <c r="I158" s="23"/>
      <c r="J158" s="23"/>
      <c r="K158" s="600"/>
    </row>
    <row r="159" spans="2:11" ht="15.75">
      <c r="B159" s="599"/>
      <c r="C159" s="3"/>
      <c r="D159" s="436" t="s">
        <v>740</v>
      </c>
      <c r="E159" s="571" t="s">
        <v>349</v>
      </c>
      <c r="F159" s="1515" t="s">
        <v>695</v>
      </c>
      <c r="G159" s="1516"/>
      <c r="H159" s="651">
        <f>(H157*100)/(1000*((G155*1000)-60))</f>
        <v>0.09523715924469946</v>
      </c>
      <c r="I159" s="23"/>
      <c r="J159" s="23"/>
      <c r="K159" s="600"/>
    </row>
    <row r="160" spans="2:11" ht="12.75">
      <c r="B160" s="599"/>
      <c r="C160" s="3"/>
      <c r="D160" s="1507" t="str">
        <f>IF(H158&gt;H157,"Steel OK","Revise Steel")</f>
        <v>Steel OK</v>
      </c>
      <c r="E160" s="1508"/>
      <c r="F160" s="1508"/>
      <c r="G160" s="1508"/>
      <c r="H160" s="1509"/>
      <c r="I160" s="23"/>
      <c r="J160" s="23"/>
      <c r="K160" s="600"/>
    </row>
    <row r="161" spans="2:11" ht="13.5" thickBot="1">
      <c r="B161" s="655"/>
      <c r="C161" s="587"/>
      <c r="D161" s="586"/>
      <c r="E161" s="590"/>
      <c r="F161" s="586"/>
      <c r="G161" s="586"/>
      <c r="H161" s="590"/>
      <c r="I161" s="590"/>
      <c r="J161" s="590"/>
      <c r="K161" s="653"/>
    </row>
  </sheetData>
  <sheetProtection/>
  <protectedRanges>
    <protectedRange sqref="G106" name="Inputs"/>
    <protectedRange sqref="G107" name="Inputs_1"/>
    <protectedRange sqref="G131 F158 F160 F129" name="Inputs_1_1"/>
  </protectedRanges>
  <mergeCells count="99">
    <mergeCell ref="F157:G157"/>
    <mergeCell ref="H154:H155"/>
    <mergeCell ref="E22:F22"/>
    <mergeCell ref="D117:E117"/>
    <mergeCell ref="E141:G141"/>
    <mergeCell ref="D149:F149"/>
    <mergeCell ref="F130:G130"/>
    <mergeCell ref="H119:I119"/>
    <mergeCell ref="G28:H28"/>
    <mergeCell ref="H21:H22"/>
    <mergeCell ref="D78:D79"/>
    <mergeCell ref="D72:D73"/>
    <mergeCell ref="D126:G126"/>
    <mergeCell ref="D145:F145"/>
    <mergeCell ref="D122:F122"/>
    <mergeCell ref="D131:H131"/>
    <mergeCell ref="D105:E105"/>
    <mergeCell ref="F79:G79"/>
    <mergeCell ref="F128:G128"/>
    <mergeCell ref="F159:G159"/>
    <mergeCell ref="D148:F148"/>
    <mergeCell ref="H44:I44"/>
    <mergeCell ref="F80:G80"/>
    <mergeCell ref="H50:I50"/>
    <mergeCell ref="H58:I58"/>
    <mergeCell ref="D64:D65"/>
    <mergeCell ref="E50:G50"/>
    <mergeCell ref="E72:I72"/>
    <mergeCell ref="D58:F58"/>
    <mergeCell ref="F92:G92"/>
    <mergeCell ref="E14:F14"/>
    <mergeCell ref="D160:H160"/>
    <mergeCell ref="F93:G93"/>
    <mergeCell ref="D94:H94"/>
    <mergeCell ref="D98:H98"/>
    <mergeCell ref="E146:F147"/>
    <mergeCell ref="H122:I122"/>
    <mergeCell ref="G19:G20"/>
    <mergeCell ref="D133:D134"/>
    <mergeCell ref="D85:D87"/>
    <mergeCell ref="G12:G13"/>
    <mergeCell ref="E119:G119"/>
    <mergeCell ref="E12:F13"/>
    <mergeCell ref="D103:F103"/>
    <mergeCell ref="E87:H87"/>
    <mergeCell ref="D90:G90"/>
    <mergeCell ref="F91:G91"/>
    <mergeCell ref="H73:I73"/>
    <mergeCell ref="G30:H30"/>
    <mergeCell ref="E8:F8"/>
    <mergeCell ref="J142:J147"/>
    <mergeCell ref="J29:J30"/>
    <mergeCell ref="E60:H60"/>
    <mergeCell ref="H62:I62"/>
    <mergeCell ref="E62:G62"/>
    <mergeCell ref="H65:J65"/>
    <mergeCell ref="H32:I32"/>
    <mergeCell ref="H19:H20"/>
    <mergeCell ref="D75:I75"/>
    <mergeCell ref="E9:F9"/>
    <mergeCell ref="E10:F11"/>
    <mergeCell ref="H36:I36"/>
    <mergeCell ref="B3:K3"/>
    <mergeCell ref="D6:F6"/>
    <mergeCell ref="D10:D11"/>
    <mergeCell ref="D12:D13"/>
    <mergeCell ref="G27:H27"/>
    <mergeCell ref="G10:G11"/>
    <mergeCell ref="E7:F7"/>
    <mergeCell ref="E47:F47"/>
    <mergeCell ref="E15:F15"/>
    <mergeCell ref="D25:F25"/>
    <mergeCell ref="H35:I35"/>
    <mergeCell ref="H33:I33"/>
    <mergeCell ref="G21:G22"/>
    <mergeCell ref="D18:F18"/>
    <mergeCell ref="E19:F19"/>
    <mergeCell ref="E20:F20"/>
    <mergeCell ref="D19:D20"/>
    <mergeCell ref="G47:I47"/>
    <mergeCell ref="H45:I45"/>
    <mergeCell ref="H43:I43"/>
    <mergeCell ref="D21:D22"/>
    <mergeCell ref="D68:F68"/>
    <mergeCell ref="E21:F21"/>
    <mergeCell ref="D29:D30"/>
    <mergeCell ref="E43:G43"/>
    <mergeCell ref="E44:G44"/>
    <mergeCell ref="E45:G45"/>
    <mergeCell ref="F81:G81"/>
    <mergeCell ref="F82:G82"/>
    <mergeCell ref="E69:G69"/>
    <mergeCell ref="E78:E79"/>
    <mergeCell ref="F83:G83"/>
    <mergeCell ref="G29:H29"/>
    <mergeCell ref="F41:G41"/>
    <mergeCell ref="E70:G70"/>
    <mergeCell ref="D42:G42"/>
    <mergeCell ref="F78:G78"/>
  </mergeCells>
  <conditionalFormatting sqref="H73">
    <cfRule type="cellIs" priority="17" dxfId="0" operator="equal">
      <formula>"Safe against Sliding"</formula>
    </cfRule>
  </conditionalFormatting>
  <conditionalFormatting sqref="D94">
    <cfRule type="cellIs" priority="13" dxfId="0" operator="equal">
      <formula>"Eccentricity lies within middle third of the base hence OK"</formula>
    </cfRule>
  </conditionalFormatting>
  <conditionalFormatting sqref="E99 D98">
    <cfRule type="cellIs" priority="12" dxfId="0" operator="equal">
      <formula>"Max Pressure qmax&lt;SBC hence pressure on base is OK"</formula>
    </cfRule>
  </conditionalFormatting>
  <conditionalFormatting sqref="H65">
    <cfRule type="cellIs" priority="11" dxfId="4" operator="equal">
      <formula>"Safe against Overturning"</formula>
    </cfRule>
  </conditionalFormatting>
  <conditionalFormatting sqref="G109:G110 F78:F83 E77:E78 F84:J84 E80:E86 D77:D85">
    <cfRule type="expression" priority="10" dxfId="3">
      <formula>"$D$79&gt;1.4"</formula>
    </cfRule>
  </conditionalFormatting>
  <conditionalFormatting sqref="E87">
    <cfRule type="cellIs" priority="9" dxfId="4" operator="equal">
      <formula>"Safe against Sliding"</formula>
    </cfRule>
  </conditionalFormatting>
  <conditionalFormatting sqref="D75">
    <cfRule type="cellIs" priority="8" dxfId="4" operator="equal">
      <formula>"Shear Key not required"</formula>
    </cfRule>
  </conditionalFormatting>
  <conditionalFormatting sqref="D126 H154">
    <cfRule type="cellIs" priority="6" dxfId="0" operator="equal">
      <formula>"Thickness of Stem is OK"</formula>
    </cfRule>
  </conditionalFormatting>
  <conditionalFormatting sqref="I156 I130:I131 D160 D131">
    <cfRule type="cellIs" priority="5" dxfId="0" operator="equal">
      <formula>"Steel OK"</formula>
    </cfRule>
  </conditionalFormatting>
  <dataValidations count="3">
    <dataValidation type="list" showInputMessage="1" showErrorMessage="1" sqref="F158 F129">
      <formula1>"8,12,16,20"</formula1>
    </dataValidation>
    <dataValidation type="list" allowBlank="1" showInputMessage="1" showErrorMessage="1" sqref="G106">
      <formula1>"15,20,25,30"</formula1>
    </dataValidation>
    <dataValidation type="list" allowBlank="1" showInputMessage="1" showErrorMessage="1" sqref="G107">
      <formula1>"250,415,500"</formula1>
    </dataValidation>
  </dataValidations>
  <printOptions horizontalCentered="1"/>
  <pageMargins left="0.2" right="0.2" top="0.2" bottom="0.2" header="0" footer="0"/>
  <pageSetup orientation="portrait" paperSize="8" scale="80" r:id="rId1"/>
  <rowBreaks count="1" manualBreakCount="1"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69"/>
  <sheetViews>
    <sheetView tabSelected="1" zoomScalePageLayoutView="0" workbookViewId="0" topLeftCell="A1">
      <selection activeCell="E12" sqref="E12"/>
    </sheetView>
  </sheetViews>
  <sheetFormatPr defaultColWidth="9.140625" defaultRowHeight="12.75" customHeight="1"/>
  <cols>
    <col min="1" max="1" width="5.57421875" style="696" customWidth="1"/>
    <col min="2" max="2" width="7.57421875" style="696" customWidth="1"/>
    <col min="3" max="3" width="17.00390625" style="696" customWidth="1"/>
    <col min="4" max="4" width="13.140625" style="696" customWidth="1"/>
    <col min="5" max="5" width="13.8515625" style="696" customWidth="1"/>
    <col min="6" max="6" width="13.00390625" style="696" customWidth="1"/>
    <col min="7" max="7" width="12.8515625" style="696" customWidth="1"/>
    <col min="8" max="8" width="31.421875" style="696" customWidth="1"/>
    <col min="9" max="9" width="9.140625" style="696" customWidth="1"/>
    <col min="10" max="10" width="8.421875" style="696" customWidth="1"/>
    <col min="11" max="11" width="11.57421875" style="696" customWidth="1"/>
    <col min="12" max="12" width="11.00390625" style="696" customWidth="1"/>
    <col min="13" max="13" width="12.8515625" style="696" customWidth="1"/>
    <col min="14" max="14" width="11.57421875" style="696" customWidth="1"/>
    <col min="15" max="15" width="11.28125" style="696" customWidth="1"/>
    <col min="16" max="16" width="9.140625" style="696" customWidth="1"/>
    <col min="17" max="17" width="12.421875" style="696" customWidth="1"/>
    <col min="18" max="18" width="12.28125" style="696" customWidth="1"/>
    <col min="19" max="19" width="10.7109375" style="696" customWidth="1"/>
    <col min="20" max="20" width="12.421875" style="696" customWidth="1"/>
    <col min="21" max="16384" width="9.140625" style="696" customWidth="1"/>
  </cols>
  <sheetData>
    <row r="1" spans="1:24" s="697" customFormat="1" ht="12.75" customHeight="1">
      <c r="A1" s="696"/>
      <c r="B1" s="699"/>
      <c r="C1" s="702"/>
      <c r="D1" s="700"/>
      <c r="E1" s="701"/>
      <c r="F1" s="700"/>
      <c r="G1" s="701"/>
      <c r="H1" s="701"/>
      <c r="O1" s="698"/>
      <c r="P1" s="698"/>
      <c r="Q1" s="698"/>
      <c r="R1" s="698"/>
      <c r="S1" s="698"/>
      <c r="T1" s="698"/>
      <c r="U1" s="698"/>
      <c r="V1" s="698"/>
      <c r="W1" s="698"/>
      <c r="X1" s="698"/>
    </row>
    <row r="2" spans="2:8" ht="15.75" customHeight="1">
      <c r="B2" s="1212" t="s">
        <v>79</v>
      </c>
      <c r="C2" s="1212"/>
      <c r="D2" s="1212"/>
      <c r="E2" s="1212"/>
      <c r="F2" s="1212"/>
      <c r="G2" s="1212"/>
      <c r="H2" s="1212"/>
    </row>
    <row r="4" spans="2:8" ht="12.75" customHeight="1">
      <c r="B4" s="703"/>
      <c r="C4" s="836"/>
      <c r="D4" s="704"/>
      <c r="E4" s="704"/>
      <c r="F4" s="704"/>
      <c r="G4" s="705"/>
      <c r="H4" s="706"/>
    </row>
    <row r="5" spans="2:13" ht="12.75" customHeight="1">
      <c r="B5" s="707"/>
      <c r="C5" s="711" t="s">
        <v>10</v>
      </c>
      <c r="D5" s="701"/>
      <c r="E5" s="701"/>
      <c r="F5" s="701"/>
      <c r="G5" s="763"/>
      <c r="H5" s="764"/>
      <c r="J5" s="711"/>
      <c r="K5" s="715"/>
      <c r="L5" s="771"/>
      <c r="M5" s="718"/>
    </row>
    <row r="6" spans="2:8" ht="12.75">
      <c r="B6" s="707"/>
      <c r="C6" s="742" t="s">
        <v>11</v>
      </c>
      <c r="D6" s="825">
        <v>200</v>
      </c>
      <c r="H6" s="708"/>
    </row>
    <row r="7" spans="2:18" ht="12.75" customHeight="1">
      <c r="B7" s="707"/>
      <c r="C7" s="742" t="s">
        <v>12</v>
      </c>
      <c r="D7" s="825">
        <v>600</v>
      </c>
      <c r="F7" s="742" t="s">
        <v>38</v>
      </c>
      <c r="G7" s="821">
        <f>D8+D66+D30/2</f>
        <v>35.5</v>
      </c>
      <c r="H7" s="765" t="s">
        <v>780</v>
      </c>
      <c r="Q7" s="709"/>
      <c r="R7" s="710"/>
    </row>
    <row r="8" spans="2:18" ht="12.75" customHeight="1">
      <c r="B8" s="707"/>
      <c r="C8" s="837" t="s">
        <v>744</v>
      </c>
      <c r="D8" s="825">
        <v>15</v>
      </c>
      <c r="E8" s="762"/>
      <c r="F8" s="742" t="s">
        <v>745</v>
      </c>
      <c r="G8" s="821">
        <f>D7-G7</f>
        <v>564.5</v>
      </c>
      <c r="H8" s="765" t="s">
        <v>779</v>
      </c>
      <c r="Q8" s="709"/>
      <c r="R8" s="710"/>
    </row>
    <row r="9" spans="2:17" ht="12.75" customHeight="1">
      <c r="B9" s="707"/>
      <c r="D9" s="701"/>
      <c r="E9" s="701"/>
      <c r="G9" s="701"/>
      <c r="H9" s="708"/>
      <c r="L9" s="701"/>
      <c r="M9" s="701"/>
      <c r="N9" s="701"/>
      <c r="O9" s="701"/>
      <c r="P9" s="701"/>
      <c r="Q9" s="701"/>
    </row>
    <row r="10" spans="2:17" ht="12.75" customHeight="1">
      <c r="B10" s="707"/>
      <c r="C10" s="711" t="s">
        <v>13</v>
      </c>
      <c r="D10" s="701"/>
      <c r="E10" s="701"/>
      <c r="F10" s="701"/>
      <c r="G10" s="701"/>
      <c r="H10" s="708"/>
      <c r="L10" s="701"/>
      <c r="M10" s="701"/>
      <c r="N10" s="701"/>
      <c r="O10" s="701"/>
      <c r="P10" s="701"/>
      <c r="Q10" s="701"/>
    </row>
    <row r="11" spans="2:17" ht="14.25" customHeight="1">
      <c r="B11" s="707"/>
      <c r="C11" s="742" t="s">
        <v>80</v>
      </c>
      <c r="D11" s="826">
        <v>20</v>
      </c>
      <c r="E11" s="701"/>
      <c r="F11" s="701"/>
      <c r="G11" s="701"/>
      <c r="H11" s="708"/>
      <c r="L11" s="701"/>
      <c r="M11" s="722"/>
      <c r="N11" s="701"/>
      <c r="O11" s="701"/>
      <c r="P11" s="701"/>
      <c r="Q11" s="722"/>
    </row>
    <row r="12" spans="2:18" ht="12.75" customHeight="1">
      <c r="B12" s="707"/>
      <c r="C12" s="742" t="s">
        <v>746</v>
      </c>
      <c r="D12" s="826">
        <v>415</v>
      </c>
      <c r="E12" s="701"/>
      <c r="F12" s="713"/>
      <c r="G12" s="701"/>
      <c r="H12" s="708"/>
      <c r="J12" s="794" t="s">
        <v>805</v>
      </c>
      <c r="K12" s="770"/>
      <c r="L12" s="770"/>
      <c r="M12" s="770"/>
      <c r="N12" s="770"/>
      <c r="O12" s="770"/>
      <c r="P12" s="774"/>
      <c r="Q12" s="774"/>
      <c r="R12" s="775"/>
    </row>
    <row r="13" spans="2:18" ht="12.75" customHeight="1">
      <c r="B13" s="707"/>
      <c r="D13" s="701"/>
      <c r="E13" s="701" t="s">
        <v>950</v>
      </c>
      <c r="F13" s="701"/>
      <c r="G13" s="701"/>
      <c r="H13" s="708"/>
      <c r="J13" s="776"/>
      <c r="K13" s="701"/>
      <c r="L13" s="701"/>
      <c r="M13" s="701"/>
      <c r="N13" s="701"/>
      <c r="O13" s="701"/>
      <c r="P13" s="795"/>
      <c r="Q13" s="795"/>
      <c r="R13" s="767"/>
    </row>
    <row r="14" spans="2:18" ht="14.25" customHeight="1">
      <c r="B14" s="707"/>
      <c r="C14" s="835" t="s">
        <v>1</v>
      </c>
      <c r="D14" s="827">
        <v>123</v>
      </c>
      <c r="E14" s="701"/>
      <c r="F14" s="838" t="s">
        <v>747</v>
      </c>
      <c r="G14" s="822">
        <f>(D14*1000000)/(D6*G8*G8)</f>
        <v>1.9299551795368264</v>
      </c>
      <c r="H14" s="767"/>
      <c r="J14" s="776"/>
      <c r="K14" s="701"/>
      <c r="L14" s="701"/>
      <c r="M14" s="701"/>
      <c r="N14" s="701"/>
      <c r="O14" s="701"/>
      <c r="P14" s="795"/>
      <c r="Q14" s="795"/>
      <c r="R14" s="767"/>
    </row>
    <row r="15" spans="2:18" ht="12.75" customHeight="1">
      <c r="B15" s="707"/>
      <c r="E15" s="701"/>
      <c r="F15" s="838" t="s">
        <v>30</v>
      </c>
      <c r="G15" s="823">
        <f>(700/(1100+(0.87*D12)))*G8</f>
        <v>270.45617877553815</v>
      </c>
      <c r="H15" s="765" t="s">
        <v>782</v>
      </c>
      <c r="J15" s="776"/>
      <c r="K15" s="701"/>
      <c r="L15" s="701"/>
      <c r="M15" s="772" t="s">
        <v>787</v>
      </c>
      <c r="N15" s="701"/>
      <c r="O15" s="701"/>
      <c r="P15" s="701"/>
      <c r="Q15" s="701"/>
      <c r="R15" s="767"/>
    </row>
    <row r="16" spans="2:18" ht="12.75" customHeight="1">
      <c r="B16" s="707"/>
      <c r="F16" s="838" t="s">
        <v>781</v>
      </c>
      <c r="G16" s="824">
        <f>((0.36*D11*D6*G15*(G8-(0.416*G15))))/1000000</f>
        <v>176.03071250319223</v>
      </c>
      <c r="H16" s="765" t="s">
        <v>819</v>
      </c>
      <c r="J16" s="776"/>
      <c r="K16" s="701"/>
      <c r="L16" s="701"/>
      <c r="M16" s="712">
        <f>IF(D12=250,(IF(D11=15,4.4,IF(D11=20,5.15,IF(D11=25,5.9,IF(D11=30,6.65))))),IF(D12=415,(IF(D11=15,6.4,IF(D11=20,7.1,IF(D11=25,7.8,IF(D11=30,8.5))))),IF(D12=500,(IF(D11=15,6.4,IF(D11=20,7,IF(D11=25,7.7,IF(D11=30,8.3))))))))</f>
        <v>7.1</v>
      </c>
      <c r="N16" s="701"/>
      <c r="O16" s="701"/>
      <c r="P16" s="701"/>
      <c r="Q16" s="701"/>
      <c r="R16" s="767"/>
    </row>
    <row r="17" spans="2:18" ht="12.75" customHeight="1">
      <c r="B17" s="707"/>
      <c r="F17" s="838" t="s">
        <v>3</v>
      </c>
      <c r="G17" s="822">
        <f>(G16*1000000)/(D6*G8*G8)</f>
        <v>2.7620437833584868</v>
      </c>
      <c r="H17" s="765"/>
      <c r="J17" s="776"/>
      <c r="K17" s="701"/>
      <c r="L17" s="701"/>
      <c r="M17" s="701"/>
      <c r="N17" s="701"/>
      <c r="O17" s="701"/>
      <c r="P17" s="701"/>
      <c r="Q17" s="701"/>
      <c r="R17" s="767"/>
    </row>
    <row r="18" spans="2:18" ht="12.75" customHeight="1">
      <c r="B18" s="707"/>
      <c r="G18" s="701"/>
      <c r="H18" s="708"/>
      <c r="J18" s="776"/>
      <c r="K18" s="722" t="s">
        <v>17</v>
      </c>
      <c r="L18" s="722"/>
      <c r="M18" s="722"/>
      <c r="N18" s="722"/>
      <c r="O18" s="722" t="s">
        <v>748</v>
      </c>
      <c r="P18" s="713"/>
      <c r="Q18" s="701"/>
      <c r="R18" s="767"/>
    </row>
    <row r="19" spans="2:18" ht="12.75" customHeight="1">
      <c r="B19" s="707"/>
      <c r="C19" s="717" t="str">
        <f>IF(G14&gt;M16,"",IF(D14&lt;G16,"Beam is designed as Singly Reinforced Beam","Beam is designed as Doubly Reinforced Beam"))</f>
        <v>Beam is designed as Singly Reinforced Beam</v>
      </c>
      <c r="D19" s="718"/>
      <c r="E19" s="718"/>
      <c r="H19" s="708"/>
      <c r="J19" s="776"/>
      <c r="K19" s="716" t="s">
        <v>7</v>
      </c>
      <c r="L19" s="782">
        <f>(0.87435*D12*D12)/(D11*10000)</f>
        <v>0.75292464375</v>
      </c>
      <c r="M19" s="781" t="s">
        <v>790</v>
      </c>
      <c r="N19" s="715"/>
      <c r="O19" s="716" t="s">
        <v>7</v>
      </c>
      <c r="P19" s="782">
        <f>(0.87435*D12*D12)/(D11*10000)</f>
        <v>0.75292464375</v>
      </c>
      <c r="Q19" s="781" t="s">
        <v>790</v>
      </c>
      <c r="R19" s="767"/>
    </row>
    <row r="20" spans="2:18" ht="12.75" customHeight="1">
      <c r="B20" s="707"/>
      <c r="C20" s="717">
        <f>IF(G14&gt;M16,"",IF(N39&lt;N36,"","Minimum % of Steel as per IS 456 clause 26.5.1.1 required"))</f>
      </c>
      <c r="D20" s="718"/>
      <c r="E20" s="718"/>
      <c r="F20" s="766"/>
      <c r="H20" s="708"/>
      <c r="J20" s="776"/>
      <c r="K20" s="719" t="s">
        <v>0</v>
      </c>
      <c r="L20" s="783">
        <f>-(0.87*D12)/100</f>
        <v>-3.6105</v>
      </c>
      <c r="M20" s="781" t="s">
        <v>791</v>
      </c>
      <c r="N20" s="701"/>
      <c r="O20" s="719" t="s">
        <v>0</v>
      </c>
      <c r="P20" s="783">
        <f>-(0.87*D12)/100</f>
        <v>-3.6105</v>
      </c>
      <c r="Q20" s="781" t="s">
        <v>791</v>
      </c>
      <c r="R20" s="767"/>
    </row>
    <row r="21" spans="2:19" ht="12.75" customHeight="1">
      <c r="B21" s="707"/>
      <c r="D21" s="718"/>
      <c r="E21" s="718"/>
      <c r="F21" s="766"/>
      <c r="H21" s="708"/>
      <c r="J21" s="776"/>
      <c r="K21" s="719" t="s">
        <v>8</v>
      </c>
      <c r="L21" s="783">
        <f>(D14*1000000)/(D6*G8*G8)</f>
        <v>1.9299551795368264</v>
      </c>
      <c r="M21" s="781" t="s">
        <v>789</v>
      </c>
      <c r="N21" s="701"/>
      <c r="O21" s="719" t="s">
        <v>8</v>
      </c>
      <c r="P21" s="783">
        <f>(G16*1000000)/(D6*G8*G8)</f>
        <v>2.7620437833584868</v>
      </c>
      <c r="Q21" s="781" t="s">
        <v>792</v>
      </c>
      <c r="R21" s="767"/>
      <c r="S21" s="709"/>
    </row>
    <row r="22" spans="2:18" ht="12.75" customHeight="1">
      <c r="B22" s="707"/>
      <c r="C22" s="839" t="s">
        <v>14</v>
      </c>
      <c r="D22" s="840" t="s">
        <v>783</v>
      </c>
      <c r="E22" s="841" t="s">
        <v>826</v>
      </c>
      <c r="G22" s="701"/>
      <c r="H22" s="708"/>
      <c r="J22" s="776"/>
      <c r="K22" s="720" t="s">
        <v>9</v>
      </c>
      <c r="L22" s="783">
        <f>(-L20-SQRT((L20*L20)-(4*L19*L21)))/(2*L19)</f>
        <v>0.6128676918500737</v>
      </c>
      <c r="M22" s="781" t="s">
        <v>793</v>
      </c>
      <c r="N22" s="701"/>
      <c r="O22" s="720" t="s">
        <v>9</v>
      </c>
      <c r="P22" s="783">
        <f>(-P20-(SQRT((P20*P20)-(4*P19*P21))))/(2*P19)</f>
        <v>0.955323354720406</v>
      </c>
      <c r="Q22" s="781" t="s">
        <v>793</v>
      </c>
      <c r="R22" s="767"/>
    </row>
    <row r="23" spans="2:18" ht="12.75" customHeight="1">
      <c r="B23" s="707"/>
      <c r="C23" s="842" t="s">
        <v>784</v>
      </c>
      <c r="D23" s="893">
        <f>IF(G14&gt;M16,"",(D24*100/(D6*G8)))</f>
        <v>0.6128676918500737</v>
      </c>
      <c r="E23" s="893" t="str">
        <f>IF(G14&gt;M16,"",IF(C19="Beam is designed as Singly Reinforced Beam","-------",(E24*100/(D6*G8))))</f>
        <v>-------</v>
      </c>
      <c r="G23" s="896" t="str">
        <f>IF(G14&gt;M16,"",IF(D14&lt;G16,"Refer Table 2 SP 16 pg 48","Refer Table 45-56 SP 16 pg 81-92"))</f>
        <v>Refer Table 2 SP 16 pg 48</v>
      </c>
      <c r="H23" s="767"/>
      <c r="J23" s="776"/>
      <c r="K23" s="721" t="s">
        <v>5</v>
      </c>
      <c r="L23" s="784">
        <f>(L22*D6*G8)/100</f>
        <v>691.9276240987332</v>
      </c>
      <c r="M23" s="781" t="s">
        <v>794</v>
      </c>
      <c r="N23" s="701"/>
      <c r="O23" s="721" t="s">
        <v>749</v>
      </c>
      <c r="P23" s="784">
        <f>(P22*D6*G8)/100</f>
        <v>1078.5600674793384</v>
      </c>
      <c r="Q23" s="781" t="s">
        <v>794</v>
      </c>
      <c r="R23" s="777"/>
    </row>
    <row r="24" spans="2:18" ht="12.75" customHeight="1">
      <c r="B24" s="707"/>
      <c r="C24" s="842" t="s">
        <v>14</v>
      </c>
      <c r="D24" s="768">
        <f>IF(G14&gt;M16,"",N42)</f>
        <v>691.9276240987332</v>
      </c>
      <c r="E24" s="768">
        <f>IF(G14&gt;M16,"",N43)</f>
      </c>
      <c r="G24" s="701"/>
      <c r="H24" s="708"/>
      <c r="J24" s="776"/>
      <c r="K24" s="701"/>
      <c r="L24" s="701"/>
      <c r="M24" s="701"/>
      <c r="N24" s="701"/>
      <c r="O24" s="701"/>
      <c r="P24" s="701"/>
      <c r="Q24" s="701"/>
      <c r="R24" s="767"/>
    </row>
    <row r="25" spans="2:18" ht="12.75" customHeight="1">
      <c r="B25" s="707"/>
      <c r="C25" s="701"/>
      <c r="D25" s="701"/>
      <c r="E25" s="701"/>
      <c r="F25" s="701"/>
      <c r="G25" s="701"/>
      <c r="H25" s="708"/>
      <c r="J25" s="776"/>
      <c r="K25" s="701"/>
      <c r="L25" s="701"/>
      <c r="M25" s="701"/>
      <c r="N25" s="701"/>
      <c r="O25" s="701"/>
      <c r="P25" s="701"/>
      <c r="Q25" s="701"/>
      <c r="R25" s="767"/>
    </row>
    <row r="26" spans="2:18" ht="12.75" customHeight="1">
      <c r="B26" s="707"/>
      <c r="C26" s="1148">
        <f>IF(D7&lt;750,"","Side Face bars are required")</f>
      </c>
      <c r="D26" s="701"/>
      <c r="E26" s="723"/>
      <c r="F26" s="700"/>
      <c r="G26" s="701"/>
      <c r="H26" s="708"/>
      <c r="J26" s="776"/>
      <c r="K26" s="701"/>
      <c r="L26" s="701"/>
      <c r="M26" s="701"/>
      <c r="N26" s="701"/>
      <c r="O26" s="703" t="s">
        <v>750</v>
      </c>
      <c r="P26" s="787">
        <f>D14-G16</f>
        <v>-53.030712503192234</v>
      </c>
      <c r="Q26" s="781" t="s">
        <v>795</v>
      </c>
      <c r="R26" s="767"/>
    </row>
    <row r="27" spans="2:18" ht="12.75" customHeight="1">
      <c r="B27" s="707"/>
      <c r="D27" s="701"/>
      <c r="E27" s="701"/>
      <c r="F27" s="701"/>
      <c r="G27" s="701"/>
      <c r="H27" s="708"/>
      <c r="J27" s="780"/>
      <c r="K27" s="701"/>
      <c r="L27" s="701"/>
      <c r="M27" s="701"/>
      <c r="N27" s="701"/>
      <c r="O27" s="707" t="s">
        <v>751</v>
      </c>
      <c r="P27" s="787">
        <f>(P26*1000000)/((0.87*D12)*(G8-G7))</f>
        <v>-277.6543237191893</v>
      </c>
      <c r="Q27" s="781" t="s">
        <v>796</v>
      </c>
      <c r="R27" s="767"/>
    </row>
    <row r="28" spans="2:18" ht="12.75" customHeight="1">
      <c r="B28" s="707"/>
      <c r="C28" s="711" t="s">
        <v>752</v>
      </c>
      <c r="D28" s="701"/>
      <c r="E28" s="701"/>
      <c r="F28" s="701"/>
      <c r="G28" s="722" t="s">
        <v>753</v>
      </c>
      <c r="H28" s="708"/>
      <c r="J28" s="776"/>
      <c r="K28" s="701"/>
      <c r="L28" s="701"/>
      <c r="M28" s="701"/>
      <c r="N28" s="701"/>
      <c r="O28" s="721" t="s">
        <v>5</v>
      </c>
      <c r="P28" s="787">
        <f>P23+P27</f>
        <v>800.9057437601491</v>
      </c>
      <c r="Q28" s="781" t="s">
        <v>797</v>
      </c>
      <c r="R28" s="767"/>
    </row>
    <row r="29" spans="2:18" ht="12.75" customHeight="1">
      <c r="B29" s="707"/>
      <c r="C29" s="725" t="s">
        <v>19</v>
      </c>
      <c r="D29" s="725" t="s">
        <v>2</v>
      </c>
      <c r="E29" s="725" t="s">
        <v>18</v>
      </c>
      <c r="F29" s="725" t="s">
        <v>14</v>
      </c>
      <c r="G29" s="726"/>
      <c r="H29" s="708"/>
      <c r="J29" s="776"/>
      <c r="K29" s="701"/>
      <c r="L29" s="701"/>
      <c r="M29" s="701"/>
      <c r="N29" s="701"/>
      <c r="O29" s="701"/>
      <c r="P29" s="701"/>
      <c r="Q29" s="701"/>
      <c r="R29" s="767"/>
    </row>
    <row r="30" spans="2:18" ht="12.75" customHeight="1">
      <c r="B30" s="707"/>
      <c r="C30" s="704" t="s">
        <v>20</v>
      </c>
      <c r="D30" s="828">
        <v>25</v>
      </c>
      <c r="E30" s="829">
        <v>2</v>
      </c>
      <c r="F30" s="727">
        <f>IF(G14&gt;M16,"",IF(D30="-","",(PI()/4)*(D30^2)*(E30)))</f>
        <v>981.7477042468104</v>
      </c>
      <c r="H30" s="708"/>
      <c r="J30" s="776"/>
      <c r="K30" s="701"/>
      <c r="L30" s="701"/>
      <c r="M30" s="785">
        <f>G7/G8</f>
        <v>0.06288751107174491</v>
      </c>
      <c r="N30" s="701"/>
      <c r="O30" s="773" t="s">
        <v>4</v>
      </c>
      <c r="P30" s="789">
        <f>M31</f>
        <v>0.1</v>
      </c>
      <c r="Q30" s="701"/>
      <c r="R30" s="767"/>
    </row>
    <row r="31" spans="2:18" ht="12.75" customHeight="1">
      <c r="B31" s="707"/>
      <c r="C31" s="701" t="s">
        <v>21</v>
      </c>
      <c r="D31" s="828">
        <v>16</v>
      </c>
      <c r="E31" s="829">
        <v>2</v>
      </c>
      <c r="F31" s="728">
        <f>IF(G14&gt;M16,"",IF(D31="-","",(PI()/4)*(D31^2)*(E31)))</f>
        <v>402.1238596594935</v>
      </c>
      <c r="G31" s="729"/>
      <c r="H31" s="708"/>
      <c r="J31" s="776"/>
      <c r="K31" s="701"/>
      <c r="L31" s="701"/>
      <c r="M31" s="786">
        <f>IF(M30&lt;=0.05,0.05,IF(M30&lt;=0.1,0.1,IF(M30&lt;=0.15,0.15,IF(M30&lt;=0.2,0.2))))</f>
        <v>0.1</v>
      </c>
      <c r="N31" s="701"/>
      <c r="O31" s="776" t="s">
        <v>754</v>
      </c>
      <c r="P31" s="787">
        <f>IF(D12=250,(0.87*D12),IF(D12=415,(IF(P30=0.05,355,IF(P30=0.1,353,IF(P30=0.15,342,IF(P30=0.2,329))))),IF(D12=500,IF(P30=0.05,424,IF(P30=0.1,412,IF(P30=0.15,395,IF(P30=0.2,370)))))))</f>
        <v>353</v>
      </c>
      <c r="Q31" s="781" t="s">
        <v>799</v>
      </c>
      <c r="R31" s="767"/>
    </row>
    <row r="32" spans="2:18" ht="12.75" customHeight="1">
      <c r="B32" s="707"/>
      <c r="C32" s="730" t="s">
        <v>22</v>
      </c>
      <c r="D32" s="828" t="s">
        <v>32</v>
      </c>
      <c r="E32" s="829">
        <v>2</v>
      </c>
      <c r="F32" s="731">
        <f>IF(G14&gt;M16,"",IF(D32="-","",(PI()/4)*(D32^2)*(E32)))</f>
      </c>
      <c r="G32" s="729"/>
      <c r="H32" s="708"/>
      <c r="J32" s="776"/>
      <c r="K32" s="701"/>
      <c r="L32" s="701"/>
      <c r="M32" s="701"/>
      <c r="N32" s="701"/>
      <c r="O32" s="776" t="s">
        <v>755</v>
      </c>
      <c r="P32" s="788">
        <f>0.446*D11</f>
        <v>8.92</v>
      </c>
      <c r="Q32" s="781" t="s">
        <v>798</v>
      </c>
      <c r="R32" s="767"/>
    </row>
    <row r="33" spans="2:18" ht="12.75" customHeight="1">
      <c r="B33" s="707"/>
      <c r="C33" s="1213" t="s">
        <v>23</v>
      </c>
      <c r="D33" s="1213"/>
      <c r="E33" s="1213"/>
      <c r="F33" s="732">
        <f>IF(G14&gt;M16,"",SUM(F30:F32))</f>
        <v>1383.871563906304</v>
      </c>
      <c r="G33" s="724">
        <f>IF(G14&gt;M16,"",(F33*100/(D6*G8)))</f>
        <v>1.2257498351694454</v>
      </c>
      <c r="H33" s="708"/>
      <c r="J33" s="776"/>
      <c r="K33" s="724"/>
      <c r="L33" s="701"/>
      <c r="M33" s="701"/>
      <c r="N33" s="701"/>
      <c r="O33" s="790" t="s">
        <v>6</v>
      </c>
      <c r="P33" s="787">
        <f>(P26*1000000)/((P31-P32)*(G8-G7))</f>
        <v>-291.34821430717653</v>
      </c>
      <c r="Q33" s="781" t="s">
        <v>800</v>
      </c>
      <c r="R33" s="767"/>
    </row>
    <row r="34" spans="2:18" ht="12.75" customHeight="1">
      <c r="B34" s="707"/>
      <c r="C34" s="1211" t="str">
        <f>IF(G14&gt;M16,"",IF(G14&gt;M16,"",IF(G33&gt;=4,"Steel provided cannot be more than 4% of cross section area.",IF(F33&gt;D24,"Provided Steel OK","Provided Steel Insufficient"))))</f>
        <v>Provided Steel OK</v>
      </c>
      <c r="D34" s="1211"/>
      <c r="E34" s="1211"/>
      <c r="F34" s="1211"/>
      <c r="G34" s="1211"/>
      <c r="H34" s="708"/>
      <c r="J34" s="776"/>
      <c r="K34" s="701"/>
      <c r="L34" s="701"/>
      <c r="M34" s="701"/>
      <c r="N34" s="701"/>
      <c r="O34" s="701"/>
      <c r="P34" s="701"/>
      <c r="Q34" s="701"/>
      <c r="R34" s="767"/>
    </row>
    <row r="35" spans="2:18" ht="12.75" customHeight="1">
      <c r="B35" s="707"/>
      <c r="C35" s="1211"/>
      <c r="D35" s="1211"/>
      <c r="E35" s="1211"/>
      <c r="F35" s="1211"/>
      <c r="G35" s="1211"/>
      <c r="H35" s="708"/>
      <c r="J35" s="776"/>
      <c r="K35" s="701"/>
      <c r="L35" s="701"/>
      <c r="M35" s="773" t="s">
        <v>29</v>
      </c>
      <c r="N35" s="793">
        <f>(0.85*100)/D12</f>
        <v>0.20481927710843373</v>
      </c>
      <c r="O35" s="781" t="s">
        <v>801</v>
      </c>
      <c r="P35" s="701"/>
      <c r="Q35" s="701"/>
      <c r="R35" s="767"/>
    </row>
    <row r="36" spans="2:18" ht="12.75" customHeight="1">
      <c r="B36" s="707"/>
      <c r="C36" s="700"/>
      <c r="D36" s="700"/>
      <c r="E36" s="700"/>
      <c r="F36" s="733"/>
      <c r="G36" s="714"/>
      <c r="H36" s="708"/>
      <c r="J36" s="776"/>
      <c r="K36" s="701"/>
      <c r="L36" s="701"/>
      <c r="M36" s="776" t="s">
        <v>5</v>
      </c>
      <c r="N36" s="787">
        <f>IF(D14&lt;G16,L23,P28)</f>
        <v>691.9276240987332</v>
      </c>
      <c r="O36" s="781"/>
      <c r="P36" s="701"/>
      <c r="Q36" s="701"/>
      <c r="R36" s="767"/>
    </row>
    <row r="37" spans="2:18" ht="12.75" customHeight="1">
      <c r="B37" s="707"/>
      <c r="C37" s="711" t="s">
        <v>756</v>
      </c>
      <c r="D37" s="700"/>
      <c r="E37" s="700"/>
      <c r="F37" s="733"/>
      <c r="G37" s="714"/>
      <c r="H37" s="708"/>
      <c r="J37" s="776"/>
      <c r="K37" s="701"/>
      <c r="L37" s="701"/>
      <c r="M37" s="778" t="s">
        <v>6</v>
      </c>
      <c r="N37" s="787">
        <f>P33</f>
        <v>-291.34821430717653</v>
      </c>
      <c r="O37" s="781"/>
      <c r="P37" s="701"/>
      <c r="Q37" s="701"/>
      <c r="R37" s="767"/>
    </row>
    <row r="38" spans="2:18" ht="12.75" customHeight="1">
      <c r="B38" s="707"/>
      <c r="C38" s="725" t="s">
        <v>19</v>
      </c>
      <c r="D38" s="725" t="s">
        <v>2</v>
      </c>
      <c r="E38" s="725" t="s">
        <v>18</v>
      </c>
      <c r="F38" s="725" t="s">
        <v>14</v>
      </c>
      <c r="G38" s="726"/>
      <c r="H38" s="708"/>
      <c r="J38" s="776"/>
      <c r="K38" s="701"/>
      <c r="L38" s="701"/>
      <c r="M38" s="707"/>
      <c r="N38" s="708"/>
      <c r="O38" s="781"/>
      <c r="P38" s="701"/>
      <c r="Q38" s="701"/>
      <c r="R38" s="767"/>
    </row>
    <row r="39" spans="2:18" ht="12.75" customHeight="1">
      <c r="B39" s="707"/>
      <c r="C39" s="701" t="s">
        <v>20</v>
      </c>
      <c r="D39" s="828">
        <v>12</v>
      </c>
      <c r="E39" s="829">
        <v>2</v>
      </c>
      <c r="F39" s="728">
        <f>IF(E24="","",IF(G14&gt;M16,"",IF(D39="-","",(PI()/4)*(D39^2)*(E39))))</f>
      </c>
      <c r="G39" s="714"/>
      <c r="H39" s="796"/>
      <c r="J39" s="776"/>
      <c r="K39" s="701"/>
      <c r="L39" s="701"/>
      <c r="M39" s="773" t="s">
        <v>15</v>
      </c>
      <c r="N39" s="787">
        <f>(0.85*D6*G8)/D12</f>
        <v>231.24096385542168</v>
      </c>
      <c r="O39" s="781" t="s">
        <v>802</v>
      </c>
      <c r="P39" s="701"/>
      <c r="Q39" s="701"/>
      <c r="R39" s="767"/>
    </row>
    <row r="40" spans="2:18" ht="12.75" customHeight="1">
      <c r="B40" s="707"/>
      <c r="C40" s="701" t="s">
        <v>21</v>
      </c>
      <c r="D40" s="828" t="s">
        <v>32</v>
      </c>
      <c r="E40" s="829"/>
      <c r="F40" s="728">
        <f>IF(E24="","",IF(G14&gt;M16,"",IF(D40="-","",(PI()/4)*(D40^2)*(E40))))</f>
      </c>
      <c r="G40" s="714"/>
      <c r="H40" s="708"/>
      <c r="J40" s="776"/>
      <c r="K40" s="701"/>
      <c r="L40" s="701"/>
      <c r="M40" s="778" t="s">
        <v>16</v>
      </c>
      <c r="N40" s="788">
        <f>0.04*D6*G8</f>
        <v>4516</v>
      </c>
      <c r="O40" s="781" t="s">
        <v>803</v>
      </c>
      <c r="P40" s="701"/>
      <c r="Q40" s="701"/>
      <c r="R40" s="767"/>
    </row>
    <row r="41" spans="2:18" ht="12.75" customHeight="1">
      <c r="B41" s="707"/>
      <c r="C41" s="701" t="s">
        <v>22</v>
      </c>
      <c r="D41" s="828"/>
      <c r="E41" s="829"/>
      <c r="F41" s="728">
        <f>IF(E24="","",IF(G14&gt;M16,"",IF(D41="-","",(PI()/4)*(D41^2)*(E41))))</f>
      </c>
      <c r="G41" s="714"/>
      <c r="H41" s="708"/>
      <c r="J41" s="776"/>
      <c r="K41" s="701"/>
      <c r="L41" s="701"/>
      <c r="M41" s="707"/>
      <c r="N41" s="708"/>
      <c r="O41" s="701"/>
      <c r="P41" s="701"/>
      <c r="Q41" s="701"/>
      <c r="R41" s="767"/>
    </row>
    <row r="42" spans="2:18" ht="12.75" customHeight="1">
      <c r="B42" s="707"/>
      <c r="C42" s="1213" t="s">
        <v>23</v>
      </c>
      <c r="D42" s="1213"/>
      <c r="E42" s="1213"/>
      <c r="F42" s="732">
        <f>IF(E24="","",IF(G14&gt;M16,"",SUM(F39:F41)))</f>
      </c>
      <c r="G42" s="724" t="e">
        <f>IF(G14&gt;M16,"",IF(E24&gt;0,(F42*100/(D6*G8)),""))</f>
        <v>#VALUE!</v>
      </c>
      <c r="H42" s="708"/>
      <c r="J42" s="776"/>
      <c r="K42" s="701"/>
      <c r="L42" s="701"/>
      <c r="M42" s="773" t="s">
        <v>5</v>
      </c>
      <c r="N42" s="787">
        <f>IF(N36&gt;N39,N36,N39)</f>
        <v>691.9276240987332</v>
      </c>
      <c r="O42" s="701"/>
      <c r="P42" s="701"/>
      <c r="Q42" s="701"/>
      <c r="R42" s="767"/>
    </row>
    <row r="43" spans="2:18" ht="12.75" customHeight="1">
      <c r="B43" s="707"/>
      <c r="C43" s="1211">
        <f>IF(E24="","",IF(G14&gt;M16,"",IF(G42&gt;=4,"Steel provided cannot be more than 4% of cross section area.",IF(F42&gt;E24,"Provided Steel OK","Provided Steel Insufficient"))))</f>
      </c>
      <c r="D43" s="1211"/>
      <c r="E43" s="1211"/>
      <c r="F43" s="1211"/>
      <c r="G43" s="1211"/>
      <c r="H43" s="708"/>
      <c r="J43" s="776"/>
      <c r="K43" s="701"/>
      <c r="L43" s="701"/>
      <c r="M43" s="790" t="s">
        <v>6</v>
      </c>
      <c r="N43" s="787">
        <f>IF(D14&lt;G16,"",N37)</f>
      </c>
      <c r="O43" s="701"/>
      <c r="P43" s="701"/>
      <c r="Q43" s="701"/>
      <c r="R43" s="767"/>
    </row>
    <row r="44" spans="2:18" ht="15" customHeight="1">
      <c r="B44" s="721"/>
      <c r="C44" s="734"/>
      <c r="D44" s="734"/>
      <c r="E44" s="734"/>
      <c r="F44" s="734"/>
      <c r="G44" s="735"/>
      <c r="H44" s="736"/>
      <c r="J44" s="776"/>
      <c r="K44" s="701"/>
      <c r="L44" s="701"/>
      <c r="M44" s="701"/>
      <c r="N44" s="701"/>
      <c r="O44" s="701"/>
      <c r="P44" s="701"/>
      <c r="Q44" s="701"/>
      <c r="R44" s="767"/>
    </row>
    <row r="45" spans="2:18" ht="12.75" customHeight="1">
      <c r="B45" s="701"/>
      <c r="C45" s="737"/>
      <c r="D45" s="737"/>
      <c r="E45" s="737"/>
      <c r="F45" s="737"/>
      <c r="G45" s="738"/>
      <c r="H45" s="701"/>
      <c r="J45" s="778"/>
      <c r="K45" s="769"/>
      <c r="L45" s="769"/>
      <c r="M45" s="769"/>
      <c r="N45" s="769"/>
      <c r="O45" s="769"/>
      <c r="P45" s="769"/>
      <c r="Q45" s="769"/>
      <c r="R45" s="779"/>
    </row>
    <row r="46" spans="2:8" ht="12.75" customHeight="1">
      <c r="B46" s="703"/>
      <c r="C46" s="739"/>
      <c r="D46" s="739"/>
      <c r="E46" s="739"/>
      <c r="F46" s="739"/>
      <c r="G46" s="739"/>
      <c r="H46" s="740"/>
    </row>
    <row r="47" spans="2:18" ht="12.75" customHeight="1">
      <c r="B47" s="707"/>
      <c r="C47" s="711" t="s">
        <v>786</v>
      </c>
      <c r="D47" s="832">
        <v>200</v>
      </c>
      <c r="E47" s="701"/>
      <c r="F47" s="701"/>
      <c r="G47" s="701"/>
      <c r="H47" s="708"/>
      <c r="J47" s="794" t="s">
        <v>804</v>
      </c>
      <c r="K47" s="770"/>
      <c r="L47" s="770"/>
      <c r="M47" s="770"/>
      <c r="N47" s="770"/>
      <c r="O47" s="770"/>
      <c r="P47" s="770"/>
      <c r="Q47" s="770"/>
      <c r="R47" s="775"/>
    </row>
    <row r="48" spans="2:18" ht="12.75" customHeight="1">
      <c r="B48" s="707"/>
      <c r="C48" s="711" t="str">
        <f>IF(D12=500,"","ζv")</f>
        <v>ζv</v>
      </c>
      <c r="D48" s="830">
        <f>IF(D12=500,"",IF(G14&gt;M16,"",(D47*1000)/(D6*G8)))</f>
        <v>1.7714791851195748</v>
      </c>
      <c r="E48" s="771" t="s">
        <v>785</v>
      </c>
      <c r="H48" s="708"/>
      <c r="J48" s="776"/>
      <c r="K48" s="701"/>
      <c r="L48" s="701"/>
      <c r="M48" s="701"/>
      <c r="N48" s="701"/>
      <c r="O48" s="701"/>
      <c r="P48" s="701"/>
      <c r="Q48" s="701"/>
      <c r="R48" s="767"/>
    </row>
    <row r="49" spans="1:20" ht="12.75" customHeight="1">
      <c r="A49" s="701"/>
      <c r="B49" s="707"/>
      <c r="C49" s="711" t="str">
        <f>IF(D12=500,"","ζc")</f>
        <v>ζc</v>
      </c>
      <c r="D49" s="830">
        <f>IF(D12=500,"",IF(G14&gt;M16,"",((0.85*SQRT(0.8*D11)*(SQRT(1+(5*N51))-1))/(6*N51))))</f>
        <v>0.5619054773373402</v>
      </c>
      <c r="E49" s="771" t="s">
        <v>806</v>
      </c>
      <c r="G49" s="771" t="s">
        <v>820</v>
      </c>
      <c r="H49" s="797"/>
      <c r="I49" s="701"/>
      <c r="J49" s="776"/>
      <c r="K49" s="701"/>
      <c r="L49" s="701"/>
      <c r="M49" s="773" t="s">
        <v>27</v>
      </c>
      <c r="N49" s="793">
        <f>IF(T49=1,(F33*100)/(D6*G8),(F59*100)/(D6*G8))</f>
        <v>0.756876175178409</v>
      </c>
      <c r="O49" s="781" t="s">
        <v>817</v>
      </c>
      <c r="P49" s="701"/>
      <c r="Q49" s="701"/>
      <c r="R49" s="767"/>
      <c r="T49" s="803" t="b">
        <f>FALSE</f>
        <v>0</v>
      </c>
    </row>
    <row r="50" spans="2:18" ht="12.75" customHeight="1">
      <c r="B50" s="707"/>
      <c r="C50" s="711" t="str">
        <f>IF(D12=500,"","ζcmax")</f>
        <v>ζcmax</v>
      </c>
      <c r="D50" s="831">
        <f>IF(D12=500,"",IF(G14&gt;M16,"",IF(D11=15,2.5,IF(D11=20,2.8,IF(D11=25,3.1,IF(D11=30,3.5,IF(D11=35,3.7,IF(D11=40,4))))))))</f>
        <v>2.8</v>
      </c>
      <c r="E50" s="771" t="s">
        <v>821</v>
      </c>
      <c r="H50" s="708"/>
      <c r="J50" s="776"/>
      <c r="K50" s="701"/>
      <c r="L50" s="701"/>
      <c r="M50" s="791" t="s">
        <v>757</v>
      </c>
      <c r="N50" s="793">
        <f>IF(F42="","",((F42*100)/(D6*G8)))</f>
      </c>
      <c r="O50" s="781" t="s">
        <v>818</v>
      </c>
      <c r="P50" s="701"/>
      <c r="Q50" s="701"/>
      <c r="R50" s="767"/>
    </row>
    <row r="51" spans="2:18" ht="12.75" customHeight="1">
      <c r="B51" s="707"/>
      <c r="C51" s="1209">
        <f>IF(D12=500,"According to Clause 26.5.1.6 of IS 456-2000 Characteristic Strength (fy) of stirrup reinforcement should not be greater than 415 Mpa.","")</f>
      </c>
      <c r="D51" s="1209"/>
      <c r="E51" s="1209"/>
      <c r="F51" s="742"/>
      <c r="G51" s="743"/>
      <c r="H51" s="708"/>
      <c r="J51" s="776"/>
      <c r="K51" s="701"/>
      <c r="L51" s="701"/>
      <c r="M51" s="792" t="s">
        <v>26</v>
      </c>
      <c r="N51" s="793">
        <f>(0.8*D11)/(6.89*N49)</f>
        <v>3.068145321450522</v>
      </c>
      <c r="O51" s="781" t="s">
        <v>807</v>
      </c>
      <c r="P51" s="701"/>
      <c r="Q51" s="701"/>
      <c r="R51" s="767"/>
    </row>
    <row r="52" spans="2:18" ht="12.75" customHeight="1">
      <c r="B52" s="707"/>
      <c r="C52" s="1209"/>
      <c r="D52" s="1209"/>
      <c r="E52" s="1209"/>
      <c r="F52" s="733"/>
      <c r="G52" s="714"/>
      <c r="H52" s="708"/>
      <c r="J52" s="776"/>
      <c r="K52" s="701"/>
      <c r="L52" s="701"/>
      <c r="M52" s="701"/>
      <c r="N52" s="701"/>
      <c r="O52" s="701"/>
      <c r="P52" s="701"/>
      <c r="Q52" s="701"/>
      <c r="R52" s="767"/>
    </row>
    <row r="53" spans="2:18" ht="12.75" customHeight="1">
      <c r="B53" s="707"/>
      <c r="C53" s="1209"/>
      <c r="D53" s="1209"/>
      <c r="E53" s="1209"/>
      <c r="F53" s="733"/>
      <c r="G53" s="714"/>
      <c r="H53" s="708"/>
      <c r="J53" s="776"/>
      <c r="K53" s="701"/>
      <c r="L53" s="701"/>
      <c r="M53" s="701"/>
      <c r="N53" s="701"/>
      <c r="O53" s="701"/>
      <c r="P53" s="701"/>
      <c r="Q53" s="701"/>
      <c r="R53" s="767"/>
    </row>
    <row r="54" spans="2:18" ht="12.75" customHeight="1">
      <c r="B54" s="707"/>
      <c r="C54" s="711"/>
      <c r="D54" s="700"/>
      <c r="E54" s="700"/>
      <c r="F54" s="746"/>
      <c r="G54" s="714"/>
      <c r="H54" s="708"/>
      <c r="J54" s="776"/>
      <c r="K54" s="701"/>
      <c r="L54" s="804" t="s">
        <v>808</v>
      </c>
      <c r="M54" s="805"/>
      <c r="N54" s="806"/>
      <c r="O54" s="798">
        <f>(D49*D6*G8)/1000</f>
        <v>63.43912839138571</v>
      </c>
      <c r="P54" s="781" t="s">
        <v>809</v>
      </c>
      <c r="Q54" s="701"/>
      <c r="R54" s="767"/>
    </row>
    <row r="55" spans="2:18" ht="12.75" customHeight="1">
      <c r="B55" s="707"/>
      <c r="C55" s="725" t="str">
        <f>IF(D12=500,"",IF(T49=1,"","Type"))</f>
        <v>Type</v>
      </c>
      <c r="D55" s="725" t="str">
        <f>IF(D12=500,"",IF(T49=1,"","Bar Dia"))</f>
        <v>Bar Dia</v>
      </c>
      <c r="E55" s="725" t="str">
        <f>IF(D12=500,"",IF(T49=1,"","Nos"))</f>
        <v>Nos</v>
      </c>
      <c r="F55" s="725" t="str">
        <f>IF(D12=500,"",IF(T49=1,"","Area of Steel"))</f>
        <v>Area of Steel</v>
      </c>
      <c r="G55" s="726"/>
      <c r="H55" s="708"/>
      <c r="J55" s="776"/>
      <c r="K55" s="701"/>
      <c r="L55" s="807" t="s">
        <v>810</v>
      </c>
      <c r="M55" s="808"/>
      <c r="N55" s="809"/>
      <c r="O55" s="798">
        <f>D47-O54</f>
        <v>136.5608716086143</v>
      </c>
      <c r="P55" s="781" t="s">
        <v>811</v>
      </c>
      <c r="Q55" s="701"/>
      <c r="R55" s="767"/>
    </row>
    <row r="56" spans="2:18" ht="12.75" customHeight="1">
      <c r="B56" s="707"/>
      <c r="C56" s="704" t="str">
        <f>IF(D12=500,"",IF(T49=1,"","Layer 1"))</f>
        <v>Layer 1</v>
      </c>
      <c r="D56" s="828">
        <v>16</v>
      </c>
      <c r="E56" s="829">
        <v>2</v>
      </c>
      <c r="F56" s="728">
        <f>IF(D12=500,"",IF(T49=1,"",IF(G14&gt;M16,"",IF(D56="-","",(PI()/4)*(D56^2)*(E56)))))</f>
        <v>402.1238596594935</v>
      </c>
      <c r="G56" s="714"/>
      <c r="H56" s="708"/>
      <c r="J56" s="776"/>
      <c r="K56" s="701"/>
      <c r="L56" s="744"/>
      <c r="M56" s="744"/>
      <c r="N56" s="744"/>
      <c r="O56" s="745"/>
      <c r="P56" s="701"/>
      <c r="Q56" s="701"/>
      <c r="R56" s="767"/>
    </row>
    <row r="57" spans="2:18" ht="11.25" customHeight="1">
      <c r="B57" s="707"/>
      <c r="C57" s="701" t="str">
        <f>IF(D12=500,"",IF(T49=1,"","Layer 2"))</f>
        <v>Layer 2</v>
      </c>
      <c r="D57" s="828">
        <v>12</v>
      </c>
      <c r="E57" s="829">
        <v>4</v>
      </c>
      <c r="F57" s="728">
        <f>IF(D12=500,"",IF(T49=1,"",IF(G14&gt;M16,"",IF(D57="-","",(PI()/4)*(D57^2)*(E57)))))</f>
        <v>452.3893421169302</v>
      </c>
      <c r="G57" s="714"/>
      <c r="H57" s="708"/>
      <c r="J57" s="776"/>
      <c r="K57" s="701"/>
      <c r="L57" s="800" t="s">
        <v>25</v>
      </c>
      <c r="M57" s="801"/>
      <c r="N57" s="744"/>
      <c r="O57" s="745"/>
      <c r="P57" s="1210" t="s">
        <v>816</v>
      </c>
      <c r="Q57" s="701"/>
      <c r="R57" s="767"/>
    </row>
    <row r="58" spans="2:18" ht="12.75" customHeight="1">
      <c r="B58" s="707"/>
      <c r="C58" s="730" t="str">
        <f>IF(D12=500,"",IF(T49=1,"","Layer 3"))</f>
        <v>Layer 3</v>
      </c>
      <c r="D58" s="828" t="s">
        <v>32</v>
      </c>
      <c r="E58" s="829"/>
      <c r="F58" s="728">
        <f>IF(D12=500,"",IF(T49=1,"",IF(G14&gt;M16,"",IF(D58="-","",(PI()/4)*(D58^2)*(E58)))))</f>
      </c>
      <c r="H58" s="708"/>
      <c r="J58" s="776"/>
      <c r="K58" s="701"/>
      <c r="L58" s="799" t="s">
        <v>758</v>
      </c>
      <c r="M58" s="787">
        <f>IF(D48&gt;D49,(0.87*D12*D65*(PI()/4)*D66*D66*G8)/(O55*1000),(((D65*PI()/4)*D66*D66*D12)/(0.4*D6)))</f>
        <v>150.03924378062666</v>
      </c>
      <c r="N58" s="781" t="s">
        <v>812</v>
      </c>
      <c r="O58" s="701"/>
      <c r="P58" s="1210"/>
      <c r="Q58" s="701"/>
      <c r="R58" s="767"/>
    </row>
    <row r="59" spans="2:18" ht="12.75" customHeight="1">
      <c r="B59" s="707"/>
      <c r="C59" s="1213" t="str">
        <f>IF(D12=500,"",IF(T49=1,"","Total Steel Provided"))</f>
        <v>Total Steel Provided</v>
      </c>
      <c r="D59" s="1213"/>
      <c r="E59" s="1213"/>
      <c r="F59" s="732">
        <f>IF(D12=500,"",IF(T49=1,"",IF(G14&gt;M16,"",SUM(F56:F58))))</f>
        <v>854.5132017764238</v>
      </c>
      <c r="G59" s="724">
        <f>IF(G14&gt;M16,"",(F59*100/(D6*G8)))</f>
        <v>0.756876175178409</v>
      </c>
      <c r="H59" s="708"/>
      <c r="J59" s="776"/>
      <c r="K59" s="701"/>
      <c r="L59" s="791" t="s">
        <v>759</v>
      </c>
      <c r="M59" s="787">
        <f>((2*PI()/4)*D66*D66*0.87*D12)/(0.4*D6)</f>
        <v>453.7088110314379</v>
      </c>
      <c r="N59" s="781" t="s">
        <v>813</v>
      </c>
      <c r="O59" s="701"/>
      <c r="P59" s="1210"/>
      <c r="Q59" s="701"/>
      <c r="R59" s="767"/>
    </row>
    <row r="60" spans="2:18" ht="12.75" customHeight="1">
      <c r="B60" s="707"/>
      <c r="C60" s="744"/>
      <c r="D60" s="747"/>
      <c r="E60" s="744"/>
      <c r="F60" s="744"/>
      <c r="G60" s="744"/>
      <c r="H60" s="708"/>
      <c r="J60" s="776"/>
      <c r="K60" s="701"/>
      <c r="L60" s="791" t="s">
        <v>760</v>
      </c>
      <c r="M60" s="787">
        <f>(0.75*G8)</f>
        <v>423.375</v>
      </c>
      <c r="N60" s="781" t="s">
        <v>815</v>
      </c>
      <c r="O60" s="701"/>
      <c r="P60" s="1210"/>
      <c r="Q60" s="701"/>
      <c r="R60" s="767"/>
    </row>
    <row r="61" spans="2:18" ht="12.75" customHeight="1">
      <c r="B61" s="707"/>
      <c r="C61" s="748" t="str">
        <f>IF(D12=500,"",IF(G14&gt;M16,"",IF(D48&lt;D50,"Sectional Dimensions OK","Revise sectional dimensions")))</f>
        <v>Sectional Dimensions OK</v>
      </c>
      <c r="D61" s="748"/>
      <c r="E61" s="748"/>
      <c r="F61" s="744"/>
      <c r="G61" s="744"/>
      <c r="H61" s="708"/>
      <c r="J61" s="776"/>
      <c r="K61" s="701"/>
      <c r="L61" s="790" t="s">
        <v>760</v>
      </c>
      <c r="M61" s="787">
        <v>300</v>
      </c>
      <c r="N61" s="781" t="s">
        <v>814</v>
      </c>
      <c r="O61" s="701"/>
      <c r="P61" s="1210"/>
      <c r="Q61" s="701"/>
      <c r="R61" s="767"/>
    </row>
    <row r="62" spans="2:18" ht="12.75" customHeight="1">
      <c r="B62" s="707"/>
      <c r="C62" s="717" t="str">
        <f>IF(D12=500,"",IF(G14&gt;M16,"",IF(C61="Revise sectional dimensions","",IF(D48&gt;D49,"Shear Reinforcements required","Shear Check OK"))))</f>
        <v>Shear Reinforcements required</v>
      </c>
      <c r="D62" s="748"/>
      <c r="E62" s="748"/>
      <c r="F62" s="744"/>
      <c r="G62" s="744"/>
      <c r="H62" s="708"/>
      <c r="J62" s="776"/>
      <c r="K62" s="701"/>
      <c r="L62" s="722"/>
      <c r="M62" s="802"/>
      <c r="N62" s="781"/>
      <c r="O62" s="701"/>
      <c r="P62" s="701"/>
      <c r="Q62" s="701"/>
      <c r="R62" s="767"/>
    </row>
    <row r="63" spans="2:18" ht="12.75" customHeight="1">
      <c r="B63" s="707"/>
      <c r="C63" s="717"/>
      <c r="D63" s="748"/>
      <c r="E63" s="748"/>
      <c r="F63" s="744"/>
      <c r="G63" s="744"/>
      <c r="H63" s="708"/>
      <c r="J63" s="776"/>
      <c r="K63" s="701"/>
      <c r="L63" s="722"/>
      <c r="M63" s="802"/>
      <c r="N63" s="781"/>
      <c r="O63" s="701"/>
      <c r="P63" s="701"/>
      <c r="Q63" s="701"/>
      <c r="R63" s="767"/>
    </row>
    <row r="64" spans="2:18" ht="12.75" customHeight="1">
      <c r="B64" s="707"/>
      <c r="C64" s="748">
        <f>IF(D12=500,"",IF(G14&gt;M16,"",IF(D48&gt;D49,"","Provide Nominal Shear Reinforcement")))</f>
      </c>
      <c r="D64" s="748"/>
      <c r="E64" s="748"/>
      <c r="F64" s="701"/>
      <c r="G64" s="701"/>
      <c r="H64" s="708"/>
      <c r="J64" s="778"/>
      <c r="K64" s="769"/>
      <c r="L64" s="769"/>
      <c r="M64" s="769"/>
      <c r="N64" s="769"/>
      <c r="O64" s="769"/>
      <c r="P64" s="769"/>
      <c r="Q64" s="769"/>
      <c r="R64" s="779"/>
    </row>
    <row r="65" spans="2:8" ht="12.75" customHeight="1">
      <c r="B65" s="707"/>
      <c r="C65" s="810" t="s">
        <v>788</v>
      </c>
      <c r="D65" s="833">
        <v>2</v>
      </c>
      <c r="E65" s="744"/>
      <c r="F65" s="701"/>
      <c r="G65" s="701"/>
      <c r="H65" s="708"/>
    </row>
    <row r="66" spans="2:8" ht="12.75" customHeight="1">
      <c r="B66" s="707"/>
      <c r="C66" s="810" t="str">
        <f>IF(D12=500,"","Stirrup diameter")</f>
        <v>Stirrup diameter</v>
      </c>
      <c r="D66" s="834">
        <v>8</v>
      </c>
      <c r="E66" s="741"/>
      <c r="F66" s="701"/>
      <c r="G66" s="701"/>
      <c r="H66" s="708"/>
    </row>
    <row r="67" spans="2:8" ht="12.75" customHeight="1">
      <c r="B67" s="707"/>
      <c r="C67" s="811" t="str">
        <f>IF(D12=500,"","Spacing")</f>
        <v>Spacing</v>
      </c>
      <c r="D67" s="749">
        <f>IF(D12=500,"",IF(C61="Revise sectional dimensions","",IF(G14&gt;M16,"",MIN(M58:M61))))</f>
        <v>150.03924378062666</v>
      </c>
      <c r="E67" s="741"/>
      <c r="F67" s="701"/>
      <c r="G67" s="701"/>
      <c r="H67" s="708"/>
    </row>
    <row r="68" spans="2:8" ht="12.75" customHeight="1">
      <c r="B68" s="721"/>
      <c r="C68" s="730"/>
      <c r="D68" s="730"/>
      <c r="E68" s="730"/>
      <c r="F68" s="730"/>
      <c r="G68" s="730"/>
      <c r="H68" s="736"/>
    </row>
    <row r="69" spans="3:5" ht="12.75" customHeight="1">
      <c r="C69" s="701"/>
      <c r="D69" s="701"/>
      <c r="E69" s="701"/>
    </row>
  </sheetData>
  <sheetProtection/>
  <mergeCells count="9">
    <mergeCell ref="C51:E53"/>
    <mergeCell ref="P57:P61"/>
    <mergeCell ref="C35:G35"/>
    <mergeCell ref="B2:H2"/>
    <mergeCell ref="C33:E33"/>
    <mergeCell ref="C34:G34"/>
    <mergeCell ref="C59:E59"/>
    <mergeCell ref="C42:E42"/>
    <mergeCell ref="C43:G43"/>
  </mergeCells>
  <dataValidations count="6">
    <dataValidation type="list" allowBlank="1" showErrorMessage="1" sqref="D66">
      <formula1>"6,8,10,12"</formula1>
      <formula2>0</formula2>
    </dataValidation>
    <dataValidation type="list" allowBlank="1" showErrorMessage="1" sqref="D65">
      <formula1>"2,4,6"</formula1>
      <formula2>0</formula2>
    </dataValidation>
    <dataValidation type="list" allowBlank="1" showErrorMessage="1" sqref="D31:D32">
      <formula1>"-,8,10,12,16,20,25,32"</formula1>
      <formula2>0</formula2>
    </dataValidation>
    <dataValidation type="list" showErrorMessage="1" sqref="D30 D39:D41 D56:D58">
      <formula1>"-,8,10,12,16,20,25,32"</formula1>
      <formula2>0</formula2>
    </dataValidation>
    <dataValidation type="list" allowBlank="1" showErrorMessage="1" sqref="D11">
      <formula1>"15,20,25,30"</formula1>
      <formula2>0</formula2>
    </dataValidation>
    <dataValidation type="list" allowBlank="1" showErrorMessage="1" sqref="D12">
      <formula1>"250,415,500"</formula1>
      <formula2>0</formula2>
    </dataValidation>
  </dataValidations>
  <printOptions horizontalCentered="1"/>
  <pageMargins left="0.2" right="0.2" top="0.7875" bottom="0.7875" header="0.511805555555556" footer="0.511805555555556"/>
  <pageSetup horizontalDpi="300" verticalDpi="300" orientation="portrait" paperSize="9" scale="85" r:id="rId1"/>
  <ignoredErrors>
    <ignoredError sqref="L22:L23" evalError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B2:X151"/>
  <sheetViews>
    <sheetView zoomScalePageLayoutView="0" workbookViewId="0" topLeftCell="C124">
      <selection activeCell="C84" sqref="C84:H95"/>
    </sheetView>
  </sheetViews>
  <sheetFormatPr defaultColWidth="9.140625" defaultRowHeight="12.75"/>
  <cols>
    <col min="1" max="1" width="9.140625" style="43" customWidth="1"/>
    <col min="2" max="2" width="3.28125" style="43" customWidth="1"/>
    <col min="3" max="3" width="3.00390625" style="216" bestFit="1" customWidth="1"/>
    <col min="4" max="4" width="4.7109375" style="524" customWidth="1"/>
    <col min="5" max="5" width="29.00390625" style="43" customWidth="1"/>
    <col min="6" max="6" width="22.7109375" style="524" customWidth="1"/>
    <col min="7" max="7" width="24.7109375" style="524" customWidth="1"/>
    <col min="8" max="8" width="22.7109375" style="43" customWidth="1"/>
    <col min="9" max="9" width="12.421875" style="43" customWidth="1"/>
    <col min="10" max="10" width="13.57421875" style="43" customWidth="1"/>
    <col min="11" max="11" width="4.7109375" style="43" customWidth="1"/>
    <col min="12" max="16384" width="9.140625" style="43" customWidth="1"/>
  </cols>
  <sheetData>
    <row r="1" ht="13.5" thickBot="1"/>
    <row r="2" spans="2:11" ht="12.75">
      <c r="B2" s="957"/>
      <c r="C2" s="596"/>
      <c r="D2" s="958"/>
      <c r="E2" s="959"/>
      <c r="F2" s="958"/>
      <c r="G2" s="958"/>
      <c r="H2" s="959"/>
      <c r="I2" s="959"/>
      <c r="J2" s="959"/>
      <c r="K2" s="960"/>
    </row>
    <row r="3" spans="2:24" s="280" customFormat="1" ht="15.75">
      <c r="B3" s="1043"/>
      <c r="C3" s="1537" t="s">
        <v>934</v>
      </c>
      <c r="D3" s="1538"/>
      <c r="E3" s="1538"/>
      <c r="F3" s="1538"/>
      <c r="G3" s="1538"/>
      <c r="H3" s="1538"/>
      <c r="I3" s="1538"/>
      <c r="J3" s="1538"/>
      <c r="K3" s="1539"/>
      <c r="L3" s="286"/>
      <c r="O3" s="309"/>
      <c r="P3" s="309"/>
      <c r="Q3" s="309"/>
      <c r="R3" s="309"/>
      <c r="S3" s="309"/>
      <c r="T3" s="309"/>
      <c r="U3" s="309"/>
      <c r="V3" s="309"/>
      <c r="W3" s="309"/>
      <c r="X3" s="309"/>
    </row>
    <row r="4" spans="2:24" s="280" customFormat="1" ht="13.5" thickBot="1">
      <c r="B4" s="597"/>
      <c r="C4" s="587"/>
      <c r="D4" s="584"/>
      <c r="E4" s="585"/>
      <c r="F4" s="586"/>
      <c r="G4" s="586"/>
      <c r="H4" s="587"/>
      <c r="I4" s="583"/>
      <c r="J4" s="583"/>
      <c r="K4" s="598"/>
      <c r="L4" s="286"/>
      <c r="O4" s="309"/>
      <c r="P4" s="309"/>
      <c r="Q4" s="309"/>
      <c r="R4" s="309"/>
      <c r="S4" s="309"/>
      <c r="T4" s="309"/>
      <c r="U4" s="309"/>
      <c r="V4" s="309"/>
      <c r="W4" s="309"/>
      <c r="X4" s="309"/>
    </row>
    <row r="5" spans="2:24" s="280" customFormat="1" ht="12.75">
      <c r="B5" s="597"/>
      <c r="C5" s="3"/>
      <c r="D5" s="582"/>
      <c r="E5" s="482"/>
      <c r="F5" s="324"/>
      <c r="G5" s="324"/>
      <c r="H5" s="3"/>
      <c r="I5" s="4"/>
      <c r="J5" s="4"/>
      <c r="K5" s="598"/>
      <c r="L5" s="286"/>
      <c r="O5" s="309"/>
      <c r="P5" s="309"/>
      <c r="Q5" s="309"/>
      <c r="R5" s="309"/>
      <c r="S5" s="309"/>
      <c r="T5" s="309"/>
      <c r="U5" s="309"/>
      <c r="V5" s="309"/>
      <c r="W5" s="309"/>
      <c r="X5" s="309"/>
    </row>
    <row r="6" spans="2:12" ht="12.75">
      <c r="B6" s="1028"/>
      <c r="C6" s="1029">
        <v>1</v>
      </c>
      <c r="D6" s="1030" t="s">
        <v>557</v>
      </c>
      <c r="E6" s="1030"/>
      <c r="F6" s="1024"/>
      <c r="G6" s="324"/>
      <c r="H6" s="23"/>
      <c r="I6" s="23"/>
      <c r="J6" s="23"/>
      <c r="K6" s="600"/>
      <c r="L6" s="23"/>
    </row>
    <row r="7" spans="2:11" ht="12.75">
      <c r="B7" s="599"/>
      <c r="C7" s="3"/>
      <c r="D7" s="996" t="s">
        <v>558</v>
      </c>
      <c r="E7" s="609" t="s">
        <v>907</v>
      </c>
      <c r="F7" s="436" t="s">
        <v>227</v>
      </c>
      <c r="G7" s="632">
        <v>3.6</v>
      </c>
      <c r="H7" s="23"/>
      <c r="I7" s="23"/>
      <c r="J7" s="23"/>
      <c r="K7" s="600"/>
    </row>
    <row r="8" spans="2:15" ht="15.75">
      <c r="B8" s="599"/>
      <c r="C8" s="3"/>
      <c r="D8" s="996" t="s">
        <v>560</v>
      </c>
      <c r="E8" s="609" t="s">
        <v>561</v>
      </c>
      <c r="F8" s="904" t="s">
        <v>619</v>
      </c>
      <c r="G8" s="629">
        <v>18</v>
      </c>
      <c r="H8" s="23"/>
      <c r="I8" s="392"/>
      <c r="J8" s="23"/>
      <c r="K8" s="601"/>
      <c r="M8" s="193"/>
      <c r="N8" s="192"/>
      <c r="O8" s="192"/>
    </row>
    <row r="9" spans="2:15" ht="15.75">
      <c r="B9" s="599"/>
      <c r="C9" s="3"/>
      <c r="D9" s="996" t="s">
        <v>562</v>
      </c>
      <c r="E9" s="609" t="s">
        <v>290</v>
      </c>
      <c r="F9" s="436" t="s">
        <v>618</v>
      </c>
      <c r="G9" s="628">
        <v>150</v>
      </c>
      <c r="H9" s="23"/>
      <c r="I9" s="23"/>
      <c r="J9" s="23"/>
      <c r="K9" s="601"/>
      <c r="M9" s="193"/>
      <c r="N9" s="192"/>
      <c r="O9" s="192"/>
    </row>
    <row r="10" spans="2:15" ht="14.25">
      <c r="B10" s="599"/>
      <c r="C10" s="3"/>
      <c r="D10" s="996" t="s">
        <v>566</v>
      </c>
      <c r="E10" s="977" t="s">
        <v>563</v>
      </c>
      <c r="F10" s="1037" t="s">
        <v>573</v>
      </c>
      <c r="G10" s="631">
        <v>30</v>
      </c>
      <c r="H10" s="23"/>
      <c r="I10" s="23"/>
      <c r="J10" s="23"/>
      <c r="K10" s="601"/>
      <c r="M10" s="569"/>
      <c r="N10" s="569"/>
      <c r="O10" s="569"/>
    </row>
    <row r="11" spans="2:15" ht="14.25">
      <c r="B11" s="599"/>
      <c r="C11" s="3"/>
      <c r="D11" s="996"/>
      <c r="E11" s="972"/>
      <c r="F11" s="1038"/>
      <c r="G11" s="630">
        <f>(G10*PI())/180</f>
        <v>0.5235987755982988</v>
      </c>
      <c r="H11" s="23"/>
      <c r="I11" s="23"/>
      <c r="J11" s="23"/>
      <c r="K11" s="601"/>
      <c r="M11" s="569"/>
      <c r="N11" s="569"/>
      <c r="O11" s="569"/>
    </row>
    <row r="12" spans="2:15" ht="14.25">
      <c r="B12" s="599"/>
      <c r="C12" s="3"/>
      <c r="D12" s="996" t="s">
        <v>567</v>
      </c>
      <c r="E12" s="977" t="s">
        <v>564</v>
      </c>
      <c r="F12" s="1037" t="s">
        <v>572</v>
      </c>
      <c r="G12" s="631">
        <v>0</v>
      </c>
      <c r="H12" s="23"/>
      <c r="I12" s="398"/>
      <c r="J12" s="49"/>
      <c r="K12" s="601"/>
      <c r="M12" s="193"/>
      <c r="N12" s="192"/>
      <c r="O12" s="192"/>
    </row>
    <row r="13" spans="2:15" ht="14.25">
      <c r="B13" s="599"/>
      <c r="C13" s="3"/>
      <c r="D13" s="996"/>
      <c r="E13" s="972"/>
      <c r="F13" s="1038"/>
      <c r="G13" s="630">
        <f>(G12*PI())/180</f>
        <v>0</v>
      </c>
      <c r="H13" s="23"/>
      <c r="I13" s="23"/>
      <c r="J13" s="23"/>
      <c r="K13" s="601"/>
      <c r="M13" s="193"/>
      <c r="N13" s="192"/>
      <c r="O13" s="192"/>
    </row>
    <row r="14" spans="2:11" ht="12.75">
      <c r="B14" s="599"/>
      <c r="C14" s="3"/>
      <c r="D14" s="996" t="s">
        <v>568</v>
      </c>
      <c r="E14" s="609" t="s">
        <v>565</v>
      </c>
      <c r="F14" s="573" t="s">
        <v>571</v>
      </c>
      <c r="G14" s="206">
        <v>0.5</v>
      </c>
      <c r="H14" s="23"/>
      <c r="I14" s="23"/>
      <c r="J14" s="23"/>
      <c r="K14" s="600"/>
    </row>
    <row r="15" spans="2:12" ht="15.75">
      <c r="B15" s="599"/>
      <c r="C15" s="3"/>
      <c r="D15" s="996" t="s">
        <v>569</v>
      </c>
      <c r="E15" s="609" t="s">
        <v>570</v>
      </c>
      <c r="F15" s="436" t="s">
        <v>620</v>
      </c>
      <c r="G15" s="628">
        <v>2</v>
      </c>
      <c r="H15" s="23"/>
      <c r="I15" s="23"/>
      <c r="J15" s="23"/>
      <c r="K15" s="600"/>
      <c r="L15" s="23"/>
    </row>
    <row r="16" spans="2:12" ht="13.5" thickBot="1">
      <c r="B16" s="599"/>
      <c r="C16" s="587"/>
      <c r="D16" s="589"/>
      <c r="E16" s="590"/>
      <c r="F16" s="586"/>
      <c r="G16" s="586"/>
      <c r="H16" s="590"/>
      <c r="I16" s="590"/>
      <c r="J16" s="590"/>
      <c r="K16" s="600"/>
      <c r="L16" s="23"/>
    </row>
    <row r="17" spans="2:12" ht="12.75">
      <c r="B17" s="599"/>
      <c r="C17" s="3"/>
      <c r="D17" s="324"/>
      <c r="E17" s="23"/>
      <c r="F17" s="324"/>
      <c r="G17" s="324"/>
      <c r="H17" s="23"/>
      <c r="I17" s="23"/>
      <c r="J17" s="23"/>
      <c r="K17" s="600"/>
      <c r="L17" s="23"/>
    </row>
    <row r="18" spans="2:12" ht="12.75">
      <c r="B18" s="1028"/>
      <c r="C18" s="1029">
        <v>2</v>
      </c>
      <c r="D18" s="1030" t="s">
        <v>574</v>
      </c>
      <c r="E18" s="1030"/>
      <c r="F18" s="1024"/>
      <c r="G18" s="324"/>
      <c r="H18" s="23"/>
      <c r="I18" s="23"/>
      <c r="J18" s="23"/>
      <c r="K18" s="600"/>
      <c r="L18" s="23"/>
    </row>
    <row r="19" spans="2:11" s="570" customFormat="1" ht="12.75">
      <c r="B19" s="602"/>
      <c r="C19" s="472"/>
      <c r="D19" s="997" t="s">
        <v>558</v>
      </c>
      <c r="E19" s="977" t="s">
        <v>726</v>
      </c>
      <c r="F19" s="978"/>
      <c r="G19" s="981" t="s">
        <v>575</v>
      </c>
      <c r="H19" s="983">
        <f>((COS(G13)-SQRT(((COS(G13))^2)-((COS(G11))^2)))/(COS(G13)+SQRT(((COS(G13))^2)-((COS(G11))^2))))*(COS(G13))</f>
        <v>0.3333333333333334</v>
      </c>
      <c r="I19" s="129"/>
      <c r="J19" s="129"/>
      <c r="K19" s="603"/>
    </row>
    <row r="20" spans="2:11" s="570" customFormat="1" ht="26.25" customHeight="1">
      <c r="B20" s="602"/>
      <c r="C20" s="472"/>
      <c r="D20" s="998"/>
      <c r="E20" s="979" t="s">
        <v>727</v>
      </c>
      <c r="F20" s="980"/>
      <c r="G20" s="982"/>
      <c r="H20" s="984"/>
      <c r="I20" s="129"/>
      <c r="J20" s="129"/>
      <c r="K20" s="603"/>
    </row>
    <row r="21" spans="2:11" s="570" customFormat="1" ht="12.75">
      <c r="B21" s="602"/>
      <c r="C21" s="472"/>
      <c r="D21" s="997" t="s">
        <v>560</v>
      </c>
      <c r="E21" s="977" t="s">
        <v>576</v>
      </c>
      <c r="F21" s="978"/>
      <c r="G21" s="436" t="s">
        <v>577</v>
      </c>
      <c r="H21" s="908">
        <f>(1+SIN(G11))/(1-SIN(G11))</f>
        <v>3</v>
      </c>
      <c r="I21" s="129"/>
      <c r="J21" s="129"/>
      <c r="K21" s="603"/>
    </row>
    <row r="22" spans="2:12" s="570" customFormat="1" ht="12.75">
      <c r="B22" s="602"/>
      <c r="C22" s="472"/>
      <c r="D22" s="998"/>
      <c r="E22" s="972" t="s">
        <v>578</v>
      </c>
      <c r="F22" s="973"/>
      <c r="G22" s="436"/>
      <c r="H22" s="908"/>
      <c r="I22" s="129"/>
      <c r="J22" s="129"/>
      <c r="K22" s="603"/>
      <c r="L22" s="129"/>
    </row>
    <row r="23" spans="2:12" ht="13.5" thickBot="1">
      <c r="B23" s="599"/>
      <c r="C23" s="587"/>
      <c r="D23" s="586"/>
      <c r="E23" s="590"/>
      <c r="F23" s="586"/>
      <c r="G23" s="586"/>
      <c r="H23" s="590"/>
      <c r="I23" s="590"/>
      <c r="J23" s="590"/>
      <c r="K23" s="600"/>
      <c r="L23" s="23"/>
    </row>
    <row r="24" spans="2:12" ht="12.75">
      <c r="B24" s="599"/>
      <c r="C24" s="3"/>
      <c r="D24" s="324"/>
      <c r="E24" s="23"/>
      <c r="F24" s="324"/>
      <c r="G24" s="324"/>
      <c r="H24" s="23"/>
      <c r="I24" s="23"/>
      <c r="J24" s="23"/>
      <c r="K24" s="600"/>
      <c r="L24" s="23"/>
    </row>
    <row r="25" spans="2:12" ht="12.75">
      <c r="B25" s="1028"/>
      <c r="C25" s="1029">
        <v>3</v>
      </c>
      <c r="D25" s="1031" t="s">
        <v>579</v>
      </c>
      <c r="E25" s="1031"/>
      <c r="F25" s="125"/>
      <c r="G25" s="324"/>
      <c r="H25" s="23"/>
      <c r="I25" s="23"/>
      <c r="J25" s="23"/>
      <c r="K25" s="600"/>
      <c r="L25" s="23"/>
    </row>
    <row r="26" spans="2:11" ht="12.75">
      <c r="B26" s="599"/>
      <c r="C26" s="3"/>
      <c r="D26" s="398"/>
      <c r="E26" s="579"/>
      <c r="F26" s="324"/>
      <c r="G26" s="324"/>
      <c r="H26" s="576" t="s">
        <v>641</v>
      </c>
      <c r="I26" s="577" t="s">
        <v>642</v>
      </c>
      <c r="J26" s="23"/>
      <c r="K26" s="600"/>
    </row>
    <row r="27" spans="2:11" ht="15.75">
      <c r="B27" s="599"/>
      <c r="C27" s="3"/>
      <c r="D27" s="996" t="s">
        <v>558</v>
      </c>
      <c r="E27" s="571" t="s">
        <v>580</v>
      </c>
      <c r="F27" s="615"/>
      <c r="G27" s="571" t="s">
        <v>581</v>
      </c>
      <c r="H27" s="1039" t="s">
        <v>914</v>
      </c>
      <c r="I27" s="632">
        <v>0.2</v>
      </c>
      <c r="J27" s="23"/>
      <c r="K27" s="600"/>
    </row>
    <row r="28" spans="2:11" ht="15.75">
      <c r="B28" s="599"/>
      <c r="C28" s="3"/>
      <c r="D28" s="996" t="s">
        <v>560</v>
      </c>
      <c r="E28" s="571" t="s">
        <v>582</v>
      </c>
      <c r="F28" s="615"/>
      <c r="G28" s="571" t="s">
        <v>686</v>
      </c>
      <c r="H28" s="273">
        <f>0.08*(G7)</f>
        <v>0.28800000000000003</v>
      </c>
      <c r="I28" s="632">
        <v>0.254</v>
      </c>
      <c r="J28" s="23"/>
      <c r="K28" s="600"/>
    </row>
    <row r="29" spans="2:11" ht="12.75">
      <c r="B29" s="599"/>
      <c r="C29" s="3"/>
      <c r="D29" s="997" t="s">
        <v>562</v>
      </c>
      <c r="E29" s="1011" t="s">
        <v>583</v>
      </c>
      <c r="F29" s="1012"/>
      <c r="G29" s="571" t="s">
        <v>687</v>
      </c>
      <c r="H29" s="273">
        <f>1.5*(SQRT(H19/3))*(G7+H32)</f>
        <v>1.8555555555555556</v>
      </c>
      <c r="I29" s="1490">
        <v>2.5</v>
      </c>
      <c r="J29" s="23"/>
      <c r="K29" s="600"/>
    </row>
    <row r="30" spans="2:11" ht="12.75">
      <c r="B30" s="599"/>
      <c r="C30" s="3"/>
      <c r="D30" s="998"/>
      <c r="E30" s="1013"/>
      <c r="F30" s="1014"/>
      <c r="G30" s="571" t="s">
        <v>640</v>
      </c>
      <c r="H30" s="273">
        <f>0.65*H38</f>
        <v>2.4122222222222223</v>
      </c>
      <c r="I30" s="1491"/>
      <c r="J30" s="23"/>
      <c r="K30" s="600"/>
    </row>
    <row r="31" spans="2:11" ht="12.75">
      <c r="B31" s="599"/>
      <c r="C31" s="3"/>
      <c r="D31" s="398"/>
      <c r="E31" s="591"/>
      <c r="F31" s="591"/>
      <c r="G31" s="591"/>
      <c r="H31" s="49"/>
      <c r="I31" s="49"/>
      <c r="J31" s="592"/>
      <c r="K31" s="600"/>
    </row>
    <row r="32" spans="2:11" ht="15.75">
      <c r="B32" s="599"/>
      <c r="C32" s="3"/>
      <c r="D32" s="996" t="s">
        <v>566</v>
      </c>
      <c r="E32" s="571" t="s">
        <v>656</v>
      </c>
      <c r="F32" s="615"/>
      <c r="G32" s="571" t="s">
        <v>631</v>
      </c>
      <c r="H32" s="273">
        <f>G15/G8</f>
        <v>0.1111111111111111</v>
      </c>
      <c r="I32" s="23"/>
      <c r="J32" s="23"/>
      <c r="K32" s="600"/>
    </row>
    <row r="33" spans="2:11" ht="15.75">
      <c r="B33" s="599"/>
      <c r="C33" s="3"/>
      <c r="D33" s="996" t="s">
        <v>567</v>
      </c>
      <c r="E33" s="571" t="s">
        <v>636</v>
      </c>
      <c r="F33" s="615"/>
      <c r="G33" s="571" t="s">
        <v>639</v>
      </c>
      <c r="H33" s="273">
        <f>G7+H32</f>
        <v>3.7111111111111112</v>
      </c>
      <c r="I33" s="23"/>
      <c r="J33" s="23"/>
      <c r="K33" s="600"/>
    </row>
    <row r="34" spans="2:11" ht="12.75">
      <c r="B34" s="599"/>
      <c r="C34" s="3"/>
      <c r="D34" s="398"/>
      <c r="E34" s="49"/>
      <c r="F34" s="49"/>
      <c r="G34" s="905"/>
      <c r="H34" s="23"/>
      <c r="I34" s="23"/>
      <c r="J34" s="23"/>
      <c r="K34" s="600"/>
    </row>
    <row r="35" spans="2:11" ht="15.75">
      <c r="B35" s="599"/>
      <c r="C35" s="3"/>
      <c r="D35" s="996" t="s">
        <v>568</v>
      </c>
      <c r="E35" s="571" t="s">
        <v>635</v>
      </c>
      <c r="F35" s="615"/>
      <c r="G35" s="571" t="s">
        <v>654</v>
      </c>
      <c r="H35" s="273">
        <f>(I29-I27)*(TAN(G13))</f>
        <v>0</v>
      </c>
      <c r="I35" s="23"/>
      <c r="J35" s="23"/>
      <c r="K35" s="600"/>
    </row>
    <row r="36" spans="2:11" ht="15.75">
      <c r="B36" s="599"/>
      <c r="C36" s="3"/>
      <c r="D36" s="996" t="s">
        <v>569</v>
      </c>
      <c r="E36" s="571" t="s">
        <v>637</v>
      </c>
      <c r="F36" s="615"/>
      <c r="G36" s="571" t="s">
        <v>655</v>
      </c>
      <c r="H36" s="273">
        <f>G7+H35</f>
        <v>3.6</v>
      </c>
      <c r="I36" s="23"/>
      <c r="J36" s="23"/>
      <c r="K36" s="600"/>
    </row>
    <row r="37" spans="2:11" ht="12.75">
      <c r="B37" s="599"/>
      <c r="C37" s="3"/>
      <c r="D37" s="398"/>
      <c r="E37" s="579"/>
      <c r="F37" s="49"/>
      <c r="G37" s="905"/>
      <c r="H37" s="23"/>
      <c r="I37" s="23"/>
      <c r="J37" s="23"/>
      <c r="K37" s="600"/>
    </row>
    <row r="38" spans="2:12" ht="15.75">
      <c r="B38" s="599"/>
      <c r="C38" s="3"/>
      <c r="D38" s="996" t="s">
        <v>643</v>
      </c>
      <c r="E38" s="571" t="s">
        <v>667</v>
      </c>
      <c r="F38" s="615"/>
      <c r="G38" s="615"/>
      <c r="H38" s="273">
        <f>MAX(H33,H36)</f>
        <v>3.7111111111111112</v>
      </c>
      <c r="I38" s="23"/>
      <c r="J38" s="23"/>
      <c r="K38" s="600"/>
      <c r="L38" s="23"/>
    </row>
    <row r="39" spans="2:12" ht="12.75">
      <c r="B39" s="599"/>
      <c r="C39" s="3"/>
      <c r="D39" s="398"/>
      <c r="E39" s="591"/>
      <c r="F39" s="591"/>
      <c r="G39" s="591"/>
      <c r="H39" s="49"/>
      <c r="I39" s="49"/>
      <c r="J39" s="592"/>
      <c r="K39" s="600"/>
      <c r="L39" s="23"/>
    </row>
    <row r="40" spans="2:12" ht="13.5" thickBot="1">
      <c r="B40" s="599"/>
      <c r="C40" s="587"/>
      <c r="D40" s="589"/>
      <c r="E40" s="593"/>
      <c r="F40" s="593"/>
      <c r="G40" s="593"/>
      <c r="H40" s="594"/>
      <c r="I40" s="594"/>
      <c r="J40" s="595"/>
      <c r="K40" s="600"/>
      <c r="L40" s="23"/>
    </row>
    <row r="41" spans="2:12" ht="12.75">
      <c r="B41" s="599"/>
      <c r="C41" s="3"/>
      <c r="D41" s="398"/>
      <c r="E41" s="579"/>
      <c r="F41" s="49"/>
      <c r="G41" s="49"/>
      <c r="H41" s="23"/>
      <c r="I41" s="23"/>
      <c r="J41" s="392"/>
      <c r="K41" s="600"/>
      <c r="L41" s="23"/>
    </row>
    <row r="42" spans="2:12" ht="12.75">
      <c r="B42" s="1028"/>
      <c r="C42" s="1029">
        <v>4</v>
      </c>
      <c r="D42" s="1030" t="s">
        <v>585</v>
      </c>
      <c r="E42" s="1030"/>
      <c r="F42" s="1024"/>
      <c r="G42" s="1024"/>
      <c r="H42" s="23"/>
      <c r="I42" s="23"/>
      <c r="J42" s="23"/>
      <c r="K42" s="600"/>
      <c r="L42" s="23"/>
    </row>
    <row r="43" spans="2:12" ht="15.75">
      <c r="B43" s="599"/>
      <c r="C43" s="3"/>
      <c r="D43" s="995" t="s">
        <v>558</v>
      </c>
      <c r="E43" s="1480" t="s">
        <v>632</v>
      </c>
      <c r="F43" s="1481"/>
      <c r="G43" s="991" t="s">
        <v>908</v>
      </c>
      <c r="H43" s="302">
        <f>H19*G15*H38</f>
        <v>2.4740740740740748</v>
      </c>
      <c r="I43" s="49"/>
      <c r="K43" s="600"/>
      <c r="L43" s="23"/>
    </row>
    <row r="44" spans="2:12" ht="15.75">
      <c r="B44" s="599"/>
      <c r="C44" s="3"/>
      <c r="D44" s="995" t="s">
        <v>560</v>
      </c>
      <c r="E44" s="1480" t="s">
        <v>633</v>
      </c>
      <c r="F44" s="1481"/>
      <c r="G44" s="991" t="s">
        <v>909</v>
      </c>
      <c r="H44" s="302">
        <f>(H19*G8*H38^2)/2</f>
        <v>41.31703703703705</v>
      </c>
      <c r="I44" s="49"/>
      <c r="K44" s="600"/>
      <c r="L44" s="23"/>
    </row>
    <row r="45" spans="2:12" ht="15.75">
      <c r="B45" s="599"/>
      <c r="C45" s="3"/>
      <c r="D45" s="995" t="s">
        <v>562</v>
      </c>
      <c r="E45" s="1480" t="s">
        <v>888</v>
      </c>
      <c r="F45" s="1481"/>
      <c r="G45" s="991" t="s">
        <v>910</v>
      </c>
      <c r="H45" s="302">
        <f>H43+H44</f>
        <v>43.79111111111113</v>
      </c>
      <c r="I45" s="49"/>
      <c r="K45" s="600"/>
      <c r="L45" s="23"/>
    </row>
    <row r="46" spans="2:12" ht="15.75">
      <c r="B46" s="599"/>
      <c r="C46" s="3"/>
      <c r="D46" s="995" t="s">
        <v>566</v>
      </c>
      <c r="E46" s="1480" t="s">
        <v>883</v>
      </c>
      <c r="F46" s="1481"/>
      <c r="G46" s="991" t="s">
        <v>911</v>
      </c>
      <c r="H46" s="302">
        <f>H43*H38/2</f>
        <v>4.590781893004117</v>
      </c>
      <c r="I46" s="49"/>
      <c r="K46" s="600"/>
      <c r="L46" s="23"/>
    </row>
    <row r="47" spans="2:12" ht="15.75">
      <c r="B47" s="599"/>
      <c r="C47" s="3"/>
      <c r="D47" s="995" t="s">
        <v>567</v>
      </c>
      <c r="E47" s="1480" t="s">
        <v>884</v>
      </c>
      <c r="F47" s="1481"/>
      <c r="G47" s="991" t="s">
        <v>912</v>
      </c>
      <c r="H47" s="302">
        <f>H44*H38/3</f>
        <v>51.11070507544584</v>
      </c>
      <c r="I47" s="49"/>
      <c r="K47" s="600"/>
      <c r="L47" s="23"/>
    </row>
    <row r="48" spans="2:12" ht="15.75">
      <c r="B48" s="599"/>
      <c r="C48" s="3"/>
      <c r="D48" s="995" t="s">
        <v>568</v>
      </c>
      <c r="E48" s="1480" t="s">
        <v>919</v>
      </c>
      <c r="F48" s="1481"/>
      <c r="G48" s="991" t="s">
        <v>885</v>
      </c>
      <c r="H48" s="302">
        <f>(1.2*H47)+(1.4*H46)</f>
        <v>67.75994074074077</v>
      </c>
      <c r="I48" s="49"/>
      <c r="K48" s="600"/>
      <c r="L48" s="23"/>
    </row>
    <row r="49" spans="2:12" ht="12.75">
      <c r="B49" s="599"/>
      <c r="C49" s="3"/>
      <c r="D49" s="324"/>
      <c r="E49" s="1003"/>
      <c r="F49" s="324"/>
      <c r="G49" s="324"/>
      <c r="H49" s="23"/>
      <c r="I49" s="23"/>
      <c r="J49" s="23"/>
      <c r="K49" s="600"/>
      <c r="L49" s="23"/>
    </row>
    <row r="50" spans="2:12" ht="12.75">
      <c r="B50" s="599"/>
      <c r="C50" s="3"/>
      <c r="D50" s="324"/>
      <c r="E50" s="23"/>
      <c r="F50" s="324"/>
      <c r="G50" s="324"/>
      <c r="H50" s="23"/>
      <c r="I50" s="23"/>
      <c r="J50" s="23"/>
      <c r="K50" s="600"/>
      <c r="L50" s="23"/>
    </row>
    <row r="51" spans="2:11" ht="12.75" customHeight="1">
      <c r="B51" s="599"/>
      <c r="C51" s="3"/>
      <c r="D51" s="436" t="s">
        <v>567</v>
      </c>
      <c r="E51" s="968" t="s">
        <v>34</v>
      </c>
      <c r="F51" s="969"/>
      <c r="G51" s="970"/>
      <c r="H51" s="1518" t="s">
        <v>922</v>
      </c>
      <c r="I51" s="1519"/>
      <c r="J51" s="610" t="s">
        <v>1</v>
      </c>
      <c r="K51" s="600"/>
    </row>
    <row r="52" spans="2:11" ht="15.75">
      <c r="B52" s="599"/>
      <c r="C52" s="3"/>
      <c r="D52" s="996" t="s">
        <v>657</v>
      </c>
      <c r="E52" s="580" t="s">
        <v>705</v>
      </c>
      <c r="F52" s="613" t="s">
        <v>706</v>
      </c>
      <c r="G52" s="302">
        <f>(I29-I27)*(H38-I28)*G8</f>
        <v>143.12439999999998</v>
      </c>
      <c r="H52" s="609" t="s">
        <v>891</v>
      </c>
      <c r="I52" s="273">
        <f>((I29-I27)/2)+I27</f>
        <v>1.3499999999999999</v>
      </c>
      <c r="J52" s="635">
        <f>G52*I52</f>
        <v>193.21793999999994</v>
      </c>
      <c r="K52" s="600"/>
    </row>
    <row r="53" spans="2:11" ht="15.75">
      <c r="B53" s="599"/>
      <c r="C53" s="3"/>
      <c r="D53" s="996" t="s">
        <v>880</v>
      </c>
      <c r="E53" s="580" t="s">
        <v>709</v>
      </c>
      <c r="F53" s="613" t="s">
        <v>710</v>
      </c>
      <c r="G53" s="302">
        <f>((I29-I27)*(H35)*(G8)/2)</f>
        <v>0</v>
      </c>
      <c r="H53" s="609" t="s">
        <v>890</v>
      </c>
      <c r="I53" s="273">
        <f>((I29-I27)/3)+I27</f>
        <v>0.9666666666666666</v>
      </c>
      <c r="J53" s="635">
        <f>G53*I53</f>
        <v>0</v>
      </c>
      <c r="K53" s="600"/>
    </row>
    <row r="54" spans="2:11" ht="15.75">
      <c r="B54" s="599"/>
      <c r="C54" s="3"/>
      <c r="D54" s="996" t="s">
        <v>881</v>
      </c>
      <c r="E54" s="580" t="s">
        <v>711</v>
      </c>
      <c r="F54" s="613" t="s">
        <v>712</v>
      </c>
      <c r="G54" s="302">
        <f>I27*(H38-I28)*25</f>
        <v>17.285555555555558</v>
      </c>
      <c r="H54" s="609" t="s">
        <v>936</v>
      </c>
      <c r="I54" s="273">
        <f>I27/2</f>
        <v>0.1</v>
      </c>
      <c r="J54" s="635">
        <f>G54*I54</f>
        <v>1.7285555555555558</v>
      </c>
      <c r="K54" s="600"/>
    </row>
    <row r="55" spans="2:11" ht="15.75">
      <c r="B55" s="599"/>
      <c r="C55" s="3"/>
      <c r="D55" s="996" t="s">
        <v>882</v>
      </c>
      <c r="E55" s="580" t="s">
        <v>716</v>
      </c>
      <c r="F55" s="613" t="s">
        <v>713</v>
      </c>
      <c r="G55" s="302">
        <f>I29*I28*25</f>
        <v>15.875</v>
      </c>
      <c r="H55" s="609" t="s">
        <v>594</v>
      </c>
      <c r="I55" s="273">
        <f>I29/2</f>
        <v>1.25</v>
      </c>
      <c r="J55" s="635">
        <f>G55*I55</f>
        <v>19.84375</v>
      </c>
      <c r="K55" s="600"/>
    </row>
    <row r="56" spans="2:11" ht="15.75">
      <c r="B56" s="599"/>
      <c r="C56" s="3"/>
      <c r="D56" s="965" t="s">
        <v>595</v>
      </c>
      <c r="E56" s="966"/>
      <c r="F56" s="967"/>
      <c r="G56" s="634">
        <f>SUM(G52:G55)</f>
        <v>176.28495555555554</v>
      </c>
      <c r="H56" s="965" t="s">
        <v>596</v>
      </c>
      <c r="I56" s="967"/>
      <c r="J56" s="633">
        <f>SUM(J52:J55)</f>
        <v>214.7902455555555</v>
      </c>
      <c r="K56" s="600"/>
    </row>
    <row r="57" spans="2:12" ht="12.75">
      <c r="B57" s="599"/>
      <c r="C57" s="3"/>
      <c r="D57" s="324"/>
      <c r="E57" s="23"/>
      <c r="F57" s="324"/>
      <c r="G57" s="324"/>
      <c r="H57" s="23"/>
      <c r="I57" s="23"/>
      <c r="J57" s="23"/>
      <c r="K57" s="600"/>
      <c r="L57" s="23"/>
    </row>
    <row r="58" spans="2:11" ht="15.75">
      <c r="B58" s="599"/>
      <c r="C58" s="3"/>
      <c r="D58" s="1004" t="s">
        <v>600</v>
      </c>
      <c r="E58" s="609" t="s">
        <v>886</v>
      </c>
      <c r="F58" s="999"/>
      <c r="G58" s="1000"/>
      <c r="H58" s="992" t="str">
        <f>IF(J56&gt;H48,"Safe against Overturning","Unsafe against Overturning")</f>
        <v>Safe against Overturning</v>
      </c>
      <c r="I58" s="993"/>
      <c r="J58" s="994"/>
      <c r="K58" s="600"/>
    </row>
    <row r="59" spans="2:11" ht="12.75">
      <c r="B59" s="599"/>
      <c r="C59" s="3"/>
      <c r="D59" s="1001"/>
      <c r="E59" s="1003" t="s">
        <v>887</v>
      </c>
      <c r="F59" s="614"/>
      <c r="G59" s="614"/>
      <c r="H59" s="1002"/>
      <c r="I59" s="1002"/>
      <c r="J59" s="1002"/>
      <c r="K59" s="600"/>
    </row>
    <row r="60" spans="2:12" ht="13.5" thickBot="1">
      <c r="B60" s="599"/>
      <c r="C60" s="587"/>
      <c r="D60" s="586"/>
      <c r="E60" s="590"/>
      <c r="F60" s="586"/>
      <c r="G60" s="586"/>
      <c r="H60" s="590"/>
      <c r="I60" s="590"/>
      <c r="J60" s="590"/>
      <c r="K60" s="600"/>
      <c r="L60" s="23"/>
    </row>
    <row r="61" spans="2:12" ht="12.75">
      <c r="B61" s="599"/>
      <c r="C61" s="3"/>
      <c r="D61" s="324"/>
      <c r="E61" s="23"/>
      <c r="F61" s="324"/>
      <c r="G61" s="324"/>
      <c r="H61" s="23"/>
      <c r="I61" s="23"/>
      <c r="J61" s="23"/>
      <c r="K61" s="600"/>
      <c r="L61" s="23"/>
    </row>
    <row r="62" spans="2:12" ht="12.75">
      <c r="B62" s="1028"/>
      <c r="C62" s="1029">
        <v>5</v>
      </c>
      <c r="D62" s="1030" t="s">
        <v>602</v>
      </c>
      <c r="E62" s="1030"/>
      <c r="F62" s="1024"/>
      <c r="G62" s="324"/>
      <c r="H62" s="23"/>
      <c r="I62" s="23"/>
      <c r="J62" s="23"/>
      <c r="K62" s="600"/>
      <c r="L62" s="23"/>
    </row>
    <row r="63" spans="2:12" ht="15.75">
      <c r="B63" s="599"/>
      <c r="C63" s="3"/>
      <c r="D63" s="996" t="s">
        <v>558</v>
      </c>
      <c r="E63" s="902" t="s">
        <v>603</v>
      </c>
      <c r="F63" s="902"/>
      <c r="G63" s="902"/>
      <c r="H63" s="436" t="s">
        <v>913</v>
      </c>
      <c r="I63" s="302">
        <f>H45</f>
        <v>43.79111111111113</v>
      </c>
      <c r="J63" s="23"/>
      <c r="K63" s="600"/>
      <c r="L63" s="23"/>
    </row>
    <row r="64" spans="2:12" ht="12.75">
      <c r="B64" s="599"/>
      <c r="C64" s="3"/>
      <c r="D64" s="996" t="s">
        <v>560</v>
      </c>
      <c r="E64" s="902" t="s">
        <v>605</v>
      </c>
      <c r="F64" s="902"/>
      <c r="G64" s="902"/>
      <c r="H64" s="436" t="s">
        <v>606</v>
      </c>
      <c r="I64" s="302">
        <f>G14*G56</f>
        <v>88.14247777777777</v>
      </c>
      <c r="J64" s="23"/>
      <c r="K64" s="600"/>
      <c r="L64" s="23"/>
    </row>
    <row r="65" spans="2:12" ht="12.75">
      <c r="B65" s="599"/>
      <c r="C65" s="3"/>
      <c r="D65" s="324"/>
      <c r="E65" s="23"/>
      <c r="F65" s="324"/>
      <c r="G65" s="324"/>
      <c r="H65" s="23"/>
      <c r="I65" s="23"/>
      <c r="J65" s="23"/>
      <c r="K65" s="600"/>
      <c r="L65" s="23"/>
    </row>
    <row r="66" spans="2:12" ht="15.75">
      <c r="B66" s="599"/>
      <c r="C66" s="3"/>
      <c r="D66" s="1032" t="s">
        <v>607</v>
      </c>
      <c r="E66" s="971" t="s">
        <v>889</v>
      </c>
      <c r="F66" s="588">
        <f>(0.9*I64)/I63</f>
        <v>1.8115144372272396</v>
      </c>
      <c r="G66" s="578" t="str">
        <f>IF(F66&gt;1.4,"&gt; 1.4","&lt; 1.4")</f>
        <v>&gt; 1.4</v>
      </c>
      <c r="H66" s="985" t="str">
        <f>IF(F66&gt;=1.4,"Safe against Sliding","Unsafe against Sliding")</f>
        <v>Safe against Sliding</v>
      </c>
      <c r="I66" s="986"/>
      <c r="J66" s="23"/>
      <c r="K66" s="600"/>
      <c r="L66" s="23"/>
    </row>
    <row r="67" spans="2:12" ht="12.75">
      <c r="B67" s="599"/>
      <c r="C67" s="3"/>
      <c r="D67" s="398"/>
      <c r="E67" s="1003" t="s">
        <v>916</v>
      </c>
      <c r="F67" s="324"/>
      <c r="G67" s="324"/>
      <c r="H67" s="23"/>
      <c r="I67" s="23"/>
      <c r="J67" s="23"/>
      <c r="K67" s="600"/>
      <c r="L67" s="23"/>
    </row>
    <row r="68" spans="2:12" ht="13.5" thickBot="1">
      <c r="B68" s="599"/>
      <c r="C68" s="587"/>
      <c r="D68" s="586"/>
      <c r="E68" s="590"/>
      <c r="F68" s="586"/>
      <c r="G68" s="586"/>
      <c r="H68" s="590"/>
      <c r="I68" s="590"/>
      <c r="J68" s="590"/>
      <c r="K68" s="600"/>
      <c r="L68" s="23"/>
    </row>
    <row r="69" spans="2:12" ht="12.75">
      <c r="B69" s="599"/>
      <c r="C69" s="3"/>
      <c r="D69" s="324"/>
      <c r="E69" s="23"/>
      <c r="F69" s="324"/>
      <c r="G69" s="324"/>
      <c r="H69" s="23"/>
      <c r="I69" s="23"/>
      <c r="J69" s="23"/>
      <c r="K69" s="600"/>
      <c r="L69" s="23"/>
    </row>
    <row r="70" spans="2:12" ht="12.75">
      <c r="B70" s="1028"/>
      <c r="C70" s="1029">
        <v>6</v>
      </c>
      <c r="D70" s="1030" t="s">
        <v>622</v>
      </c>
      <c r="E70" s="1030"/>
      <c r="F70" s="1024"/>
      <c r="G70" s="1024"/>
      <c r="H70" s="23"/>
      <c r="I70" s="23"/>
      <c r="J70" s="23"/>
      <c r="K70" s="600"/>
      <c r="L70" s="23"/>
    </row>
    <row r="71" spans="2:11" ht="12.75">
      <c r="B71" s="599"/>
      <c r="C71" s="3"/>
      <c r="D71" s="996" t="s">
        <v>558</v>
      </c>
      <c r="E71" s="971" t="s">
        <v>892</v>
      </c>
      <c r="F71" s="1020" t="s">
        <v>893</v>
      </c>
      <c r="G71" s="302">
        <f>J56-(H46+H47)</f>
        <v>159.08875858710553</v>
      </c>
      <c r="H71" s="23"/>
      <c r="I71" s="23"/>
      <c r="J71" s="23"/>
      <c r="K71" s="600"/>
    </row>
    <row r="72" spans="2:11" s="524" customFormat="1" ht="12.75" customHeight="1">
      <c r="B72" s="606"/>
      <c r="C72" s="472"/>
      <c r="D72" s="1006" t="s">
        <v>560</v>
      </c>
      <c r="E72" s="971" t="s">
        <v>894</v>
      </c>
      <c r="F72" s="1021" t="s">
        <v>895</v>
      </c>
      <c r="G72" s="1010">
        <f>G71/G56</f>
        <v>0.9024522715834892</v>
      </c>
      <c r="H72" s="324"/>
      <c r="I72" s="324"/>
      <c r="J72" s="324"/>
      <c r="K72" s="607"/>
    </row>
    <row r="73" spans="2:11" ht="12.75">
      <c r="B73" s="599"/>
      <c r="C73" s="3"/>
      <c r="D73" s="1006" t="s">
        <v>562</v>
      </c>
      <c r="E73" s="971" t="s">
        <v>626</v>
      </c>
      <c r="F73" s="580" t="s">
        <v>915</v>
      </c>
      <c r="G73" s="273">
        <f>(I29/2)-G72</f>
        <v>0.3475477284165108</v>
      </c>
      <c r="H73" s="535" t="s">
        <v>896</v>
      </c>
      <c r="I73" s="1005">
        <f>I29/6</f>
        <v>0.4166666666666667</v>
      </c>
      <c r="J73" s="23"/>
      <c r="K73" s="600"/>
    </row>
    <row r="74" spans="2:11" ht="12.75">
      <c r="B74" s="599"/>
      <c r="C74" s="3"/>
      <c r="D74" s="1501" t="str">
        <f>IF(G73&lt;I29/6,"e&lt;L6 Eccentricity lies within middle third of the base hence OK","e&gt;L6 Eccentricity lies outside the middle third of the base. Revise the base dimensions")</f>
        <v>e&lt;L6 Eccentricity lies within middle third of the base hence OK</v>
      </c>
      <c r="E74" s="1502"/>
      <c r="F74" s="1502"/>
      <c r="G74" s="1503"/>
      <c r="H74" s="23"/>
      <c r="I74" s="23"/>
      <c r="J74" s="23"/>
      <c r="K74" s="600"/>
    </row>
    <row r="75" spans="2:11" ht="12.75">
      <c r="B75" s="599"/>
      <c r="C75" s="3"/>
      <c r="D75" s="324"/>
      <c r="E75" s="23"/>
      <c r="F75" s="324"/>
      <c r="G75" s="23"/>
      <c r="H75" s="23"/>
      <c r="I75" s="23"/>
      <c r="J75" s="23"/>
      <c r="K75" s="600"/>
    </row>
    <row r="76" spans="2:11" ht="15.75" customHeight="1">
      <c r="B76" s="599"/>
      <c r="C76" s="3"/>
      <c r="D76" s="1033" t="s">
        <v>566</v>
      </c>
      <c r="E76" s="1050" t="s">
        <v>666</v>
      </c>
      <c r="F76" s="580" t="s">
        <v>897</v>
      </c>
      <c r="G76" s="638">
        <f>(G56/I29)*(1+(6*G73/I29))</f>
        <v>129.33072064526755</v>
      </c>
      <c r="H76" s="23"/>
      <c r="I76" s="23"/>
      <c r="J76" s="23"/>
      <c r="K76" s="600"/>
    </row>
    <row r="77" spans="2:11" ht="15.75">
      <c r="B77" s="599"/>
      <c r="C77" s="3"/>
      <c r="D77" s="1034"/>
      <c r="E77" s="1051"/>
      <c r="F77" s="580" t="s">
        <v>898</v>
      </c>
      <c r="G77" s="638">
        <f>(G56/I29)*(1-(6*G73/I29))</f>
        <v>11.697243799176869</v>
      </c>
      <c r="H77" s="23"/>
      <c r="I77" s="23"/>
      <c r="J77" s="23"/>
      <c r="K77" s="600"/>
    </row>
    <row r="78" spans="2:11" ht="12.75">
      <c r="B78" s="599"/>
      <c r="C78" s="3"/>
      <c r="D78" s="1501" t="str">
        <f>IF(G76&lt;G9,"Max Pressure qmax&lt;SBC hence pressure on base is OK","qmax &gt; SBC hence revice the base dimensions")</f>
        <v>Max Pressure qmax&lt;SBC hence pressure on base is OK</v>
      </c>
      <c r="E78" s="1502"/>
      <c r="F78" s="1502"/>
      <c r="G78" s="1503"/>
      <c r="H78" s="23"/>
      <c r="I78" s="23"/>
      <c r="J78" s="23"/>
      <c r="K78" s="600"/>
    </row>
    <row r="79" spans="2:11" ht="12.75">
      <c r="B79" s="599"/>
      <c r="C79" s="3"/>
      <c r="D79" s="611"/>
      <c r="E79" s="318"/>
      <c r="F79" s="318"/>
      <c r="G79" s="318"/>
      <c r="H79" s="23"/>
      <c r="I79" s="23"/>
      <c r="J79" s="23"/>
      <c r="K79" s="600"/>
    </row>
    <row r="80" spans="2:11" ht="15.75" customHeight="1">
      <c r="B80" s="599"/>
      <c r="C80" s="3"/>
      <c r="D80" s="996" t="s">
        <v>567</v>
      </c>
      <c r="E80" s="1052" t="s">
        <v>681</v>
      </c>
      <c r="F80" s="642" t="s">
        <v>680</v>
      </c>
      <c r="G80" s="638">
        <f>G76-(((G76-G77)/I29)*I27)</f>
        <v>119.9200424975803</v>
      </c>
      <c r="H80" s="23"/>
      <c r="I80" s="23"/>
      <c r="J80" s="23"/>
      <c r="K80" s="600"/>
    </row>
    <row r="81" spans="2:11" ht="15.75" customHeight="1">
      <c r="B81" s="599"/>
      <c r="C81" s="3"/>
      <c r="D81" s="398"/>
      <c r="E81" s="1044"/>
      <c r="F81" s="1045"/>
      <c r="G81" s="1046"/>
      <c r="H81" s="23"/>
      <c r="I81" s="23"/>
      <c r="J81" s="23"/>
      <c r="K81" s="600"/>
    </row>
    <row r="82" spans="2:12" ht="13.5" thickBot="1">
      <c r="B82" s="599"/>
      <c r="C82" s="587"/>
      <c r="D82" s="586"/>
      <c r="E82" s="590"/>
      <c r="F82" s="586"/>
      <c r="G82" s="586"/>
      <c r="H82" s="590"/>
      <c r="I82" s="590"/>
      <c r="J82" s="590"/>
      <c r="K82" s="600"/>
      <c r="L82" s="23"/>
    </row>
    <row r="83" spans="2:11" ht="12.75">
      <c r="B83" s="599"/>
      <c r="C83" s="3"/>
      <c r="D83" s="324"/>
      <c r="E83" s="23"/>
      <c r="F83" s="324"/>
      <c r="G83" s="324"/>
      <c r="H83" s="23"/>
      <c r="I83" s="23"/>
      <c r="J83" s="23"/>
      <c r="K83" s="600"/>
    </row>
    <row r="84" spans="2:11" s="5" customFormat="1" ht="12.75">
      <c r="B84" s="1025"/>
      <c r="C84" s="1026">
        <v>7</v>
      </c>
      <c r="D84" s="1027" t="s">
        <v>932</v>
      </c>
      <c r="E84" s="1027"/>
      <c r="F84" s="334"/>
      <c r="G84" s="324"/>
      <c r="H84" s="4"/>
      <c r="I84" s="4"/>
      <c r="J84" s="4"/>
      <c r="K84" s="652"/>
    </row>
    <row r="85" spans="2:11" s="5" customFormat="1" ht="12.75">
      <c r="B85" s="654"/>
      <c r="C85" s="906"/>
      <c r="D85" s="624"/>
      <c r="E85" s="906"/>
      <c r="F85" s="906"/>
      <c r="G85" s="324"/>
      <c r="H85" s="4"/>
      <c r="I85" s="4"/>
      <c r="J85" s="4"/>
      <c r="K85" s="652"/>
    </row>
    <row r="86" spans="2:11" s="5" customFormat="1" ht="12.75">
      <c r="B86" s="654"/>
      <c r="C86" s="906"/>
      <c r="D86" s="990" t="s">
        <v>244</v>
      </c>
      <c r="E86" s="990"/>
      <c r="F86" s="906"/>
      <c r="G86" s="324"/>
      <c r="H86" s="4"/>
      <c r="I86" s="4"/>
      <c r="J86" s="4"/>
      <c r="K86" s="652"/>
    </row>
    <row r="87" spans="2:11" s="5" customFormat="1" ht="12.75">
      <c r="B87" s="654"/>
      <c r="C87" s="906"/>
      <c r="D87" s="996" t="s">
        <v>558</v>
      </c>
      <c r="E87" s="609" t="s">
        <v>678</v>
      </c>
      <c r="F87" s="71">
        <v>20</v>
      </c>
      <c r="G87" s="4"/>
      <c r="H87" s="4"/>
      <c r="I87" s="4"/>
      <c r="J87" s="4"/>
      <c r="K87" s="652"/>
    </row>
    <row r="88" spans="2:11" s="5" customFormat="1" ht="12.75">
      <c r="B88" s="654"/>
      <c r="C88" s="906"/>
      <c r="D88" s="996" t="s">
        <v>560</v>
      </c>
      <c r="E88" s="609" t="s">
        <v>679</v>
      </c>
      <c r="F88" s="71">
        <v>415</v>
      </c>
      <c r="G88" s="4"/>
      <c r="H88" s="4"/>
      <c r="I88" s="4"/>
      <c r="J88" s="4"/>
      <c r="K88" s="652"/>
    </row>
    <row r="89" spans="2:11" s="4" customFormat="1" ht="12.75">
      <c r="B89" s="654"/>
      <c r="C89" s="906"/>
      <c r="D89" s="398"/>
      <c r="E89" s="906"/>
      <c r="F89" s="906"/>
      <c r="K89" s="652"/>
    </row>
    <row r="90" spans="2:11" ht="12.75">
      <c r="B90" s="599"/>
      <c r="C90" s="3"/>
      <c r="D90" s="996" t="s">
        <v>562</v>
      </c>
      <c r="E90" s="609" t="s">
        <v>725</v>
      </c>
      <c r="F90" s="574" t="s">
        <v>8</v>
      </c>
      <c r="G90" s="575">
        <f>IF(F87=15,5,IF(F87=20,7,IF(F87=25,8.5,IF(F87=30,10))))</f>
        <v>7</v>
      </c>
      <c r="H90" s="1056" t="s">
        <v>931</v>
      </c>
      <c r="I90" s="23"/>
      <c r="J90" s="23"/>
      <c r="K90" s="600"/>
    </row>
    <row r="91" spans="2:11" ht="12.75">
      <c r="B91" s="599"/>
      <c r="C91" s="3"/>
      <c r="D91" s="996" t="s">
        <v>566</v>
      </c>
      <c r="E91" s="609" t="s">
        <v>671</v>
      </c>
      <c r="F91" s="574" t="s">
        <v>267</v>
      </c>
      <c r="G91" s="325">
        <f>IF(F88=250,140,IF(F88=415,230,IF(F88=500,275)))</f>
        <v>230</v>
      </c>
      <c r="H91" s="23"/>
      <c r="I91" s="23"/>
      <c r="J91" s="23"/>
      <c r="K91" s="600"/>
    </row>
    <row r="92" spans="2:11" ht="12.75">
      <c r="B92" s="599"/>
      <c r="C92" s="3"/>
      <c r="D92" s="996" t="s">
        <v>567</v>
      </c>
      <c r="E92" s="609" t="s">
        <v>669</v>
      </c>
      <c r="F92" s="574" t="s">
        <v>674</v>
      </c>
      <c r="G92" s="908">
        <f>280/(3*G90)</f>
        <v>13.333333333333334</v>
      </c>
      <c r="H92" s="23"/>
      <c r="I92" s="23"/>
      <c r="J92" s="23"/>
      <c r="K92" s="600"/>
    </row>
    <row r="93" spans="2:11" ht="12.75">
      <c r="B93" s="599"/>
      <c r="C93" s="3"/>
      <c r="D93" s="996" t="s">
        <v>568</v>
      </c>
      <c r="E93" s="609" t="s">
        <v>670</v>
      </c>
      <c r="F93" s="574" t="s">
        <v>675</v>
      </c>
      <c r="G93" s="572">
        <f>(G92*G90)/(((G92*G90)+G91))</f>
        <v>0.28865979381443296</v>
      </c>
      <c r="H93" s="23"/>
      <c r="I93" s="23"/>
      <c r="J93" s="23"/>
      <c r="K93" s="600"/>
    </row>
    <row r="94" spans="2:11" ht="12.75">
      <c r="B94" s="599"/>
      <c r="C94" s="3"/>
      <c r="D94" s="996" t="s">
        <v>569</v>
      </c>
      <c r="E94" s="609" t="s">
        <v>673</v>
      </c>
      <c r="F94" s="574" t="s">
        <v>676</v>
      </c>
      <c r="G94" s="572">
        <f>1-(G93/3)</f>
        <v>0.9037800687285223</v>
      </c>
      <c r="H94" s="23"/>
      <c r="I94" s="23"/>
      <c r="J94" s="23"/>
      <c r="K94" s="600"/>
    </row>
    <row r="95" spans="2:11" ht="12.75">
      <c r="B95" s="599"/>
      <c r="C95" s="3"/>
      <c r="D95" s="996" t="s">
        <v>643</v>
      </c>
      <c r="E95" s="609" t="s">
        <v>672</v>
      </c>
      <c r="F95" s="574" t="s">
        <v>677</v>
      </c>
      <c r="G95" s="572">
        <f>(G90*G94*G93)/2</f>
        <v>0.9130973890246925</v>
      </c>
      <c r="H95" s="23"/>
      <c r="I95" s="23"/>
      <c r="J95" s="23"/>
      <c r="K95" s="600"/>
    </row>
    <row r="96" spans="2:11" ht="13.5" thickBot="1">
      <c r="B96" s="599"/>
      <c r="C96" s="587"/>
      <c r="D96" s="589"/>
      <c r="E96" s="594"/>
      <c r="F96" s="594"/>
      <c r="G96" s="594"/>
      <c r="H96" s="590"/>
      <c r="I96" s="590"/>
      <c r="J96" s="590"/>
      <c r="K96" s="600"/>
    </row>
    <row r="97" spans="2:11" ht="12.75">
      <c r="B97" s="599"/>
      <c r="C97" s="3"/>
      <c r="D97" s="398"/>
      <c r="E97" s="49"/>
      <c r="F97" s="49"/>
      <c r="G97" s="49"/>
      <c r="H97" s="23"/>
      <c r="I97" s="23"/>
      <c r="J97" s="23"/>
      <c r="K97" s="600"/>
    </row>
    <row r="98" spans="2:11" ht="12.75">
      <c r="B98" s="1028"/>
      <c r="C98" s="1026">
        <v>8</v>
      </c>
      <c r="D98" s="1047" t="s">
        <v>682</v>
      </c>
      <c r="E98" s="1047"/>
      <c r="F98" s="579"/>
      <c r="G98" s="579"/>
      <c r="H98" s="23"/>
      <c r="I98" s="23"/>
      <c r="J98" s="23"/>
      <c r="K98" s="600"/>
    </row>
    <row r="99" spans="2:11" ht="12.75">
      <c r="B99" s="599"/>
      <c r="C99" s="906"/>
      <c r="D99" s="906"/>
      <c r="E99" s="906"/>
      <c r="F99" s="579"/>
      <c r="G99" s="579"/>
      <c r="H99" s="23"/>
      <c r="I99" s="23"/>
      <c r="J99" s="23"/>
      <c r="K99" s="600"/>
    </row>
    <row r="100" spans="2:11" ht="12.75">
      <c r="B100" s="599"/>
      <c r="C100" s="3"/>
      <c r="D100" s="1035" t="s">
        <v>904</v>
      </c>
      <c r="E100" s="1036" t="s">
        <v>685</v>
      </c>
      <c r="F100" s="324"/>
      <c r="G100" s="324"/>
      <c r="H100" s="23"/>
      <c r="I100" s="23"/>
      <c r="J100" s="23"/>
      <c r="K100" s="600"/>
    </row>
    <row r="101" spans="2:11" ht="15.75">
      <c r="B101" s="599"/>
      <c r="C101" s="3"/>
      <c r="D101" s="996" t="s">
        <v>558</v>
      </c>
      <c r="E101" s="609" t="s">
        <v>899</v>
      </c>
      <c r="F101" s="902" t="s">
        <v>900</v>
      </c>
      <c r="G101" s="1019">
        <f>H46+H47</f>
        <v>55.701486968449956</v>
      </c>
      <c r="H101" s="398"/>
      <c r="I101" s="1007"/>
      <c r="J101" s="1008"/>
      <c r="K101" s="600"/>
    </row>
    <row r="102" spans="2:11" s="23" customFormat="1" ht="12.75">
      <c r="B102" s="599"/>
      <c r="C102" s="3"/>
      <c r="D102" s="324"/>
      <c r="E102" s="49"/>
      <c r="F102" s="3"/>
      <c r="G102" s="614"/>
      <c r="H102" s="614"/>
      <c r="I102" s="614"/>
      <c r="J102" s="905"/>
      <c r="K102" s="600"/>
    </row>
    <row r="103" spans="2:11" ht="15.75" customHeight="1">
      <c r="B103" s="599"/>
      <c r="C103" s="3"/>
      <c r="D103" s="996" t="s">
        <v>560</v>
      </c>
      <c r="E103" s="609" t="s">
        <v>688</v>
      </c>
      <c r="F103" s="580" t="s">
        <v>691</v>
      </c>
      <c r="G103" s="1010">
        <f>(SQRT(G101*10^6)/(G95*1000))/1000</f>
        <v>0.008173654827312455</v>
      </c>
      <c r="H103" s="23"/>
      <c r="I103" s="23"/>
      <c r="J103" s="23"/>
      <c r="K103" s="600"/>
    </row>
    <row r="104" spans="2:11" ht="12.75">
      <c r="B104" s="599"/>
      <c r="C104" s="3"/>
      <c r="D104" s="996" t="s">
        <v>562</v>
      </c>
      <c r="E104" s="609" t="s">
        <v>689</v>
      </c>
      <c r="F104" s="574" t="s">
        <v>690</v>
      </c>
      <c r="G104" s="1010">
        <f>I27</f>
        <v>0.2</v>
      </c>
      <c r="H104" s="23"/>
      <c r="I104" s="23"/>
      <c r="J104" s="23"/>
      <c r="K104" s="600"/>
    </row>
    <row r="105" spans="2:11" ht="12.75">
      <c r="B105" s="599"/>
      <c r="C105" s="3"/>
      <c r="D105" s="1492" t="str">
        <f>IF(G103&lt;G104,"Thickness of Stem is OK","Revise the thickness of Stem")</f>
        <v>Thickness of Stem is OK</v>
      </c>
      <c r="E105" s="1493"/>
      <c r="F105" s="1493"/>
      <c r="G105" s="1494"/>
      <c r="H105" s="23"/>
      <c r="I105" s="23"/>
      <c r="J105" s="23"/>
      <c r="K105" s="600"/>
    </row>
    <row r="106" spans="2:11" ht="12.75">
      <c r="B106" s="599"/>
      <c r="C106" s="3"/>
      <c r="D106" s="324"/>
      <c r="E106" s="23"/>
      <c r="F106" s="324"/>
      <c r="G106" s="324"/>
      <c r="H106" s="23"/>
      <c r="I106" s="23"/>
      <c r="J106" s="23"/>
      <c r="K106" s="600"/>
    </row>
    <row r="107" spans="2:11" ht="15.75">
      <c r="B107" s="599"/>
      <c r="C107" s="3"/>
      <c r="D107" s="996" t="s">
        <v>566</v>
      </c>
      <c r="E107" s="609" t="s">
        <v>683</v>
      </c>
      <c r="F107" s="902" t="s">
        <v>692</v>
      </c>
      <c r="G107" s="902"/>
      <c r="H107" s="626">
        <f>(G101*10^3)/(G91*G94*(G104-0.06))</f>
        <v>1914.0274316674463</v>
      </c>
      <c r="I107" s="23"/>
      <c r="J107" s="23"/>
      <c r="K107" s="600"/>
    </row>
    <row r="108" spans="2:11" ht="12.75">
      <c r="B108" s="599"/>
      <c r="C108" s="3"/>
      <c r="D108" s="996" t="s">
        <v>567</v>
      </c>
      <c r="E108" s="609" t="s">
        <v>697</v>
      </c>
      <c r="F108" s="647">
        <v>16</v>
      </c>
      <c r="G108" s="616">
        <v>105</v>
      </c>
      <c r="H108" s="626">
        <f>((((PI()*F108^2)/4)*1000)/G108)</f>
        <v>1914.8755221880642</v>
      </c>
      <c r="I108" s="23"/>
      <c r="J108" s="23"/>
      <c r="K108" s="600"/>
    </row>
    <row r="109" spans="2:11" ht="15.75">
      <c r="B109" s="599"/>
      <c r="C109" s="3"/>
      <c r="D109" s="996" t="s">
        <v>568</v>
      </c>
      <c r="E109" s="609" t="s">
        <v>349</v>
      </c>
      <c r="F109" s="902" t="s">
        <v>695</v>
      </c>
      <c r="G109" s="902"/>
      <c r="H109" s="651">
        <f>(H107*100)/(1000*((I27*1000)-60))</f>
        <v>1.367162451191033</v>
      </c>
      <c r="I109" s="617"/>
      <c r="J109" s="23"/>
      <c r="K109" s="600"/>
    </row>
    <row r="110" spans="2:11" ht="12.75">
      <c r="B110" s="599"/>
      <c r="C110" s="3"/>
      <c r="D110" s="1507" t="str">
        <f>IF(H108&gt;H107,"Steel OK","Revise Steel")</f>
        <v>Steel OK</v>
      </c>
      <c r="E110" s="1508"/>
      <c r="F110" s="1508"/>
      <c r="G110" s="1508"/>
      <c r="H110" s="1509"/>
      <c r="I110" s="617"/>
      <c r="J110" s="23"/>
      <c r="K110" s="600"/>
    </row>
    <row r="111" spans="2:11" ht="12.75">
      <c r="B111" s="599"/>
      <c r="C111" s="3"/>
      <c r="D111" s="324"/>
      <c r="E111" s="23"/>
      <c r="F111" s="324"/>
      <c r="G111" s="324"/>
      <c r="H111" s="23"/>
      <c r="I111" s="23"/>
      <c r="J111" s="23"/>
      <c r="K111" s="600"/>
    </row>
    <row r="112" spans="2:11" ht="12.75">
      <c r="B112" s="599"/>
      <c r="C112" s="3"/>
      <c r="D112" s="1035" t="s">
        <v>905</v>
      </c>
      <c r="E112" s="1036" t="s">
        <v>698</v>
      </c>
      <c r="F112" s="324"/>
      <c r="G112" s="324"/>
      <c r="H112" s="23"/>
      <c r="I112" s="23"/>
      <c r="J112" s="23"/>
      <c r="K112" s="600"/>
    </row>
    <row r="113" spans="2:11" ht="12.75" customHeight="1">
      <c r="B113" s="599"/>
      <c r="C113" s="3"/>
      <c r="D113" s="436"/>
      <c r="E113" s="1016" t="s">
        <v>591</v>
      </c>
      <c r="F113" s="1017"/>
      <c r="G113" s="1018"/>
      <c r="H113" s="1518" t="s">
        <v>592</v>
      </c>
      <c r="I113" s="1519"/>
      <c r="J113" s="610" t="s">
        <v>1</v>
      </c>
      <c r="K113" s="600"/>
    </row>
    <row r="114" spans="2:11" ht="15.75" customHeight="1">
      <c r="B114" s="599"/>
      <c r="C114" s="3"/>
      <c r="D114" s="996" t="s">
        <v>558</v>
      </c>
      <c r="E114" s="609" t="s">
        <v>732</v>
      </c>
      <c r="F114" s="580" t="s">
        <v>926</v>
      </c>
      <c r="G114" s="325">
        <f>(G8*(H33-I28)*(I29-I27))</f>
        <v>143.12439999999998</v>
      </c>
      <c r="H114" s="609" t="s">
        <v>593</v>
      </c>
      <c r="I114" s="273">
        <f>(I29-I27)/2</f>
        <v>1.15</v>
      </c>
      <c r="J114" s="635">
        <f>G114*I114</f>
        <v>164.59305999999995</v>
      </c>
      <c r="K114" s="600"/>
    </row>
    <row r="115" spans="2:11" ht="15.75">
      <c r="B115" s="599"/>
      <c r="C115" s="3"/>
      <c r="D115" s="996" t="s">
        <v>560</v>
      </c>
      <c r="E115" s="609" t="s">
        <v>734</v>
      </c>
      <c r="F115" s="571" t="s">
        <v>929</v>
      </c>
      <c r="G115" s="325">
        <f>G8*(H35/2)*(I29-I27)</f>
        <v>0</v>
      </c>
      <c r="H115" s="609" t="s">
        <v>638</v>
      </c>
      <c r="I115" s="273">
        <f>(I29-I27)/3</f>
        <v>0.7666666666666666</v>
      </c>
      <c r="J115" s="635">
        <f>G115*I115</f>
        <v>0</v>
      </c>
      <c r="K115" s="600"/>
    </row>
    <row r="116" spans="2:11" ht="15.75" customHeight="1">
      <c r="B116" s="599"/>
      <c r="C116" s="3"/>
      <c r="D116" s="996" t="s">
        <v>562</v>
      </c>
      <c r="E116" s="609" t="s">
        <v>721</v>
      </c>
      <c r="F116" s="902" t="s">
        <v>941</v>
      </c>
      <c r="G116" s="325">
        <f>I28*I29*25</f>
        <v>15.875</v>
      </c>
      <c r="H116" s="609" t="s">
        <v>942</v>
      </c>
      <c r="I116" s="273">
        <f>I29/2</f>
        <v>1.25</v>
      </c>
      <c r="J116" s="635">
        <f>G116*I116</f>
        <v>19.84375</v>
      </c>
      <c r="K116" s="600"/>
    </row>
    <row r="117" spans="2:11" ht="12.75">
      <c r="B117" s="599"/>
      <c r="C117" s="3"/>
      <c r="D117" s="1524" t="s">
        <v>699</v>
      </c>
      <c r="E117" s="1525"/>
      <c r="F117" s="1526"/>
      <c r="G117" s="1054">
        <f>SUM(G114:G116)</f>
        <v>158.99939999999998</v>
      </c>
      <c r="H117" s="614"/>
      <c r="I117" s="1009" t="s">
        <v>903</v>
      </c>
      <c r="J117" s="633">
        <f>J114+J115+J116</f>
        <v>184.43680999999995</v>
      </c>
      <c r="K117" s="600"/>
    </row>
    <row r="118" spans="2:11" ht="15.75" customHeight="1">
      <c r="B118" s="599"/>
      <c r="C118" s="3"/>
      <c r="D118" s="996" t="s">
        <v>568</v>
      </c>
      <c r="E118" s="609" t="s">
        <v>901</v>
      </c>
      <c r="F118" s="574" t="s">
        <v>902</v>
      </c>
      <c r="G118" s="1055">
        <f>((G80+G77)/2)*(I29-I27)</f>
        <v>151.35987924127073</v>
      </c>
      <c r="H118" s="1535" t="s">
        <v>951</v>
      </c>
      <c r="I118" s="273">
        <f>((G80+(2*G77))/(G80+G77))*((I29-I27)/3)</f>
        <v>0.8348027539924788</v>
      </c>
      <c r="J118" s="635">
        <f>G118*I118</f>
        <v>126.35564403458183</v>
      </c>
      <c r="K118" s="600"/>
    </row>
    <row r="119" spans="2:11" ht="12.75">
      <c r="B119" s="599"/>
      <c r="C119" s="3"/>
      <c r="D119" s="1532" t="str">
        <f>IF(G117&gt;G118,"Downward Pressure is greater","Upward Pressure is greater")</f>
        <v>Downward Pressure is greater</v>
      </c>
      <c r="E119" s="1533"/>
      <c r="F119" s="1533"/>
      <c r="G119" s="1534"/>
      <c r="H119" s="1536"/>
      <c r="I119" s="436" t="s">
        <v>848</v>
      </c>
      <c r="J119" s="633">
        <f>J118</f>
        <v>126.35564403458183</v>
      </c>
      <c r="K119" s="600"/>
    </row>
    <row r="120" spans="2:11" ht="12.75">
      <c r="B120" s="599"/>
      <c r="C120" s="3"/>
      <c r="D120" s="384"/>
      <c r="E120" s="384"/>
      <c r="F120" s="384"/>
      <c r="G120" s="905"/>
      <c r="H120" s="1022"/>
      <c r="I120" s="398"/>
      <c r="J120" s="1023"/>
      <c r="K120" s="600"/>
    </row>
    <row r="121" spans="2:11" ht="12.75">
      <c r="B121" s="599"/>
      <c r="C121" s="3"/>
      <c r="D121" s="996" t="s">
        <v>567</v>
      </c>
      <c r="E121" s="609" t="s">
        <v>103</v>
      </c>
      <c r="F121" s="1015" t="s">
        <v>906</v>
      </c>
      <c r="G121" s="1054">
        <f>ABS(J119-J117)</f>
        <v>58.08116596541812</v>
      </c>
      <c r="H121" s="622"/>
      <c r="I121" s="619"/>
      <c r="J121" s="619"/>
      <c r="K121" s="600"/>
    </row>
    <row r="122" spans="2:11" ht="12.75">
      <c r="B122" s="599"/>
      <c r="C122" s="3"/>
      <c r="D122" s="324"/>
      <c r="E122" s="618"/>
      <c r="F122" s="618"/>
      <c r="G122" s="618"/>
      <c r="H122" s="618"/>
      <c r="I122" s="619"/>
      <c r="J122" s="618"/>
      <c r="K122" s="600"/>
    </row>
    <row r="123" spans="2:11" ht="15.75" customHeight="1">
      <c r="B123" s="599"/>
      <c r="C123" s="3"/>
      <c r="D123" s="996" t="s">
        <v>568</v>
      </c>
      <c r="E123" s="609" t="s">
        <v>688</v>
      </c>
      <c r="F123" s="574" t="s">
        <v>691</v>
      </c>
      <c r="G123" s="637">
        <f>(SQRT((G121*10^6)/(G95*1000)))/1000</f>
        <v>0.25220814773308586</v>
      </c>
      <c r="H123" s="1529" t="str">
        <f>IF(G123&lt;G124,"Thickness of Stem is OK","Revise the thickness of Stem")</f>
        <v>Thickness of Stem is OK</v>
      </c>
      <c r="I123" s="23"/>
      <c r="J123" s="23"/>
      <c r="K123" s="600"/>
    </row>
    <row r="124" spans="2:11" ht="12.75">
      <c r="B124" s="599"/>
      <c r="C124" s="3"/>
      <c r="D124" s="996" t="s">
        <v>569</v>
      </c>
      <c r="E124" s="609" t="s">
        <v>689</v>
      </c>
      <c r="F124" s="574" t="s">
        <v>690</v>
      </c>
      <c r="G124" s="637">
        <f>I28</f>
        <v>0.254</v>
      </c>
      <c r="H124" s="1530"/>
      <c r="I124" s="23"/>
      <c r="J124" s="23"/>
      <c r="K124" s="600"/>
    </row>
    <row r="125" spans="2:11" ht="12.75">
      <c r="B125" s="599"/>
      <c r="C125" s="3"/>
      <c r="D125" s="324"/>
      <c r="E125" s="23"/>
      <c r="F125" s="324"/>
      <c r="G125" s="23"/>
      <c r="H125" s="23"/>
      <c r="I125" s="617"/>
      <c r="J125" s="23"/>
      <c r="K125" s="600"/>
    </row>
    <row r="126" spans="2:11" ht="15.75">
      <c r="B126" s="599"/>
      <c r="C126" s="3"/>
      <c r="D126" s="996" t="s">
        <v>643</v>
      </c>
      <c r="E126" s="609" t="s">
        <v>683</v>
      </c>
      <c r="F126" s="907" t="s">
        <v>692</v>
      </c>
      <c r="G126" s="974"/>
      <c r="H126" s="626">
        <f>(G121*10^3)/(G91*G94*(I28-0.06))</f>
        <v>1440.2669688895219</v>
      </c>
      <c r="I126" s="23"/>
      <c r="J126" s="23"/>
      <c r="K126" s="600"/>
    </row>
    <row r="127" spans="2:11" ht="12.75">
      <c r="B127" s="599"/>
      <c r="C127" s="3"/>
      <c r="D127" s="996" t="s">
        <v>737</v>
      </c>
      <c r="E127" s="609" t="s">
        <v>697</v>
      </c>
      <c r="F127" s="647">
        <v>16</v>
      </c>
      <c r="G127" s="616">
        <v>125</v>
      </c>
      <c r="H127" s="626">
        <f>((((PI()*F127^2)/4)*1000)/G127)</f>
        <v>1608.495438637974</v>
      </c>
      <c r="I127" s="23"/>
      <c r="J127" s="23"/>
      <c r="K127" s="600"/>
    </row>
    <row r="128" spans="2:11" ht="15.75">
      <c r="B128" s="599"/>
      <c r="C128" s="3"/>
      <c r="D128" s="996" t="s">
        <v>738</v>
      </c>
      <c r="E128" s="609" t="s">
        <v>349</v>
      </c>
      <c r="F128" s="907" t="s">
        <v>695</v>
      </c>
      <c r="G128" s="974"/>
      <c r="H128" s="651">
        <f>(H126*100)/(1000*((G124*1000)-60))</f>
        <v>0.7424056540667638</v>
      </c>
      <c r="I128" s="23"/>
      <c r="J128" s="23"/>
      <c r="K128" s="600"/>
    </row>
    <row r="129" spans="2:11" ht="12.75">
      <c r="B129" s="599"/>
      <c r="C129" s="3"/>
      <c r="D129" s="1507" t="str">
        <f>IF(H127&gt;H126,"Steel OK","Revise Steel")</f>
        <v>Steel OK</v>
      </c>
      <c r="E129" s="1508"/>
      <c r="F129" s="1508"/>
      <c r="G129" s="1508"/>
      <c r="H129" s="1509"/>
      <c r="I129" s="23"/>
      <c r="J129" s="23"/>
      <c r="K129" s="600"/>
    </row>
    <row r="130" spans="2:11" ht="12.75">
      <c r="B130" s="599"/>
      <c r="C130" s="3"/>
      <c r="D130" s="617"/>
      <c r="E130" s="617"/>
      <c r="F130" s="617"/>
      <c r="G130" s="617"/>
      <c r="H130" s="617"/>
      <c r="I130" s="23"/>
      <c r="J130" s="23"/>
      <c r="K130" s="600"/>
    </row>
    <row r="131" spans="2:11" ht="12.75">
      <c r="B131" s="599"/>
      <c r="C131" s="3"/>
      <c r="D131" s="617"/>
      <c r="E131" s="617"/>
      <c r="F131" s="617"/>
      <c r="G131" s="617"/>
      <c r="H131" s="617"/>
      <c r="I131" s="23"/>
      <c r="J131" s="23"/>
      <c r="K131" s="600"/>
    </row>
    <row r="132" spans="2:11" ht="12.75">
      <c r="B132" s="599"/>
      <c r="C132" s="3"/>
      <c r="D132" s="1035" t="s">
        <v>918</v>
      </c>
      <c r="E132" s="1036" t="s">
        <v>917</v>
      </c>
      <c r="F132" s="617"/>
      <c r="G132" s="617"/>
      <c r="H132" s="617"/>
      <c r="I132" s="23"/>
      <c r="J132" s="23"/>
      <c r="K132" s="600"/>
    </row>
    <row r="133" spans="2:11" ht="12.75">
      <c r="B133" s="599"/>
      <c r="C133" s="3"/>
      <c r="D133" s="624"/>
      <c r="E133" s="334"/>
      <c r="F133" s="617"/>
      <c r="G133" s="617"/>
      <c r="H133" s="617"/>
      <c r="I133" s="23"/>
      <c r="J133" s="23"/>
      <c r="K133" s="600"/>
    </row>
    <row r="134" spans="2:11" ht="12.75">
      <c r="B134" s="599"/>
      <c r="C134" s="3"/>
      <c r="D134" s="624"/>
      <c r="E134" s="334"/>
      <c r="F134" s="617"/>
      <c r="G134" s="617"/>
      <c r="H134" s="617"/>
      <c r="I134" s="23"/>
      <c r="J134" s="23"/>
      <c r="K134" s="600"/>
    </row>
    <row r="135" spans="2:11" ht="12.75">
      <c r="B135" s="599"/>
      <c r="C135" s="3"/>
      <c r="D135" s="617"/>
      <c r="E135" s="617"/>
      <c r="F135" s="617"/>
      <c r="G135" s="617"/>
      <c r="H135" s="617"/>
      <c r="I135" s="23"/>
      <c r="J135" s="23"/>
      <c r="K135" s="600"/>
    </row>
    <row r="136" spans="2:11" ht="12.75">
      <c r="B136" s="599"/>
      <c r="C136" s="3"/>
      <c r="D136" s="617"/>
      <c r="E136" s="617"/>
      <c r="F136" s="617"/>
      <c r="G136" s="617"/>
      <c r="H136" s="617"/>
      <c r="I136" s="23"/>
      <c r="J136" s="23"/>
      <c r="K136" s="600"/>
    </row>
    <row r="137" spans="2:11" ht="12.75">
      <c r="B137" s="599"/>
      <c r="C137" s="3"/>
      <c r="D137" s="617"/>
      <c r="E137" s="617"/>
      <c r="F137" s="617"/>
      <c r="G137" s="617"/>
      <c r="H137" s="617"/>
      <c r="I137" s="23"/>
      <c r="J137" s="23"/>
      <c r="K137" s="600"/>
    </row>
    <row r="138" spans="2:11" ht="12.75">
      <c r="B138" s="599"/>
      <c r="C138" s="3"/>
      <c r="D138" s="617"/>
      <c r="E138" s="617"/>
      <c r="F138" s="617"/>
      <c r="G138" s="617"/>
      <c r="H138" s="617"/>
      <c r="I138" s="23"/>
      <c r="J138" s="23"/>
      <c r="K138" s="600"/>
    </row>
    <row r="139" spans="2:11" ht="12.75">
      <c r="B139" s="599"/>
      <c r="C139" s="3"/>
      <c r="D139" s="617"/>
      <c r="E139" s="617"/>
      <c r="F139" s="617"/>
      <c r="G139" s="617"/>
      <c r="H139" s="617"/>
      <c r="I139" s="23"/>
      <c r="J139" s="23"/>
      <c r="K139" s="600"/>
    </row>
    <row r="140" spans="2:11" ht="12.75">
      <c r="B140" s="599"/>
      <c r="C140" s="3"/>
      <c r="D140" s="617"/>
      <c r="E140" s="617"/>
      <c r="F140" s="617"/>
      <c r="G140" s="617"/>
      <c r="H140" s="617"/>
      <c r="I140" s="23"/>
      <c r="J140" s="23"/>
      <c r="K140" s="600"/>
    </row>
    <row r="141" spans="2:11" ht="12.75">
      <c r="B141" s="599"/>
      <c r="C141" s="3"/>
      <c r="D141" s="617"/>
      <c r="E141" s="1048"/>
      <c r="F141" s="617"/>
      <c r="G141" s="617"/>
      <c r="H141" s="617"/>
      <c r="I141" s="23"/>
      <c r="J141" s="23"/>
      <c r="K141" s="600"/>
    </row>
    <row r="142" spans="2:11" ht="12.75">
      <c r="B142" s="599"/>
      <c r="C142" s="3"/>
      <c r="D142" s="617"/>
      <c r="E142" s="617"/>
      <c r="F142" s="617"/>
      <c r="G142" s="617"/>
      <c r="H142" s="617"/>
      <c r="I142" s="23"/>
      <c r="J142" s="23"/>
      <c r="K142" s="600"/>
    </row>
    <row r="143" spans="2:11" ht="12.75">
      <c r="B143" s="599"/>
      <c r="C143" s="3"/>
      <c r="D143" s="617"/>
      <c r="E143" s="617"/>
      <c r="F143" s="617"/>
      <c r="G143" s="617"/>
      <c r="H143" s="617"/>
      <c r="I143" s="23"/>
      <c r="J143" s="23"/>
      <c r="K143" s="600"/>
    </row>
    <row r="144" spans="2:11" ht="12.75">
      <c r="B144" s="599"/>
      <c r="C144" s="3"/>
      <c r="D144" s="617"/>
      <c r="E144" s="617"/>
      <c r="F144" s="617"/>
      <c r="G144" s="617"/>
      <c r="H144" s="617"/>
      <c r="I144" s="23"/>
      <c r="J144" s="23"/>
      <c r="K144" s="600"/>
    </row>
    <row r="145" spans="2:11" ht="12.75">
      <c r="B145" s="599"/>
      <c r="C145" s="3"/>
      <c r="D145" s="617"/>
      <c r="E145" s="617"/>
      <c r="F145" s="617"/>
      <c r="G145" s="617"/>
      <c r="H145" s="617"/>
      <c r="I145" s="23"/>
      <c r="J145" s="23"/>
      <c r="K145" s="600"/>
    </row>
    <row r="146" spans="2:11" ht="15" customHeight="1">
      <c r="B146" s="599"/>
      <c r="C146" s="3"/>
      <c r="D146" s="617"/>
      <c r="E146" s="617"/>
      <c r="F146" s="617"/>
      <c r="G146" s="617"/>
      <c r="H146" s="617"/>
      <c r="I146" s="23"/>
      <c r="J146" s="23"/>
      <c r="K146" s="600"/>
    </row>
    <row r="147" spans="2:11" ht="20.25" customHeight="1">
      <c r="B147" s="599"/>
      <c r="C147" s="3"/>
      <c r="D147" s="617"/>
      <c r="E147" s="617"/>
      <c r="F147" s="1053"/>
      <c r="G147" s="617"/>
      <c r="H147" s="617"/>
      <c r="I147" s="23"/>
      <c r="J147" s="23"/>
      <c r="K147" s="600"/>
    </row>
    <row r="148" spans="2:11" ht="16.5" customHeight="1">
      <c r="B148" s="599"/>
      <c r="C148" s="3"/>
      <c r="D148" s="617"/>
      <c r="E148" s="617"/>
      <c r="F148" s="1049"/>
      <c r="G148" s="617"/>
      <c r="H148" s="617"/>
      <c r="I148" s="23"/>
      <c r="J148" s="23"/>
      <c r="K148" s="600"/>
    </row>
    <row r="149" spans="2:11" ht="16.5" customHeight="1">
      <c r="B149" s="599"/>
      <c r="C149" s="3"/>
      <c r="D149" s="617"/>
      <c r="E149" s="617"/>
      <c r="F149" s="1049"/>
      <c r="G149" s="617"/>
      <c r="H149" s="617"/>
      <c r="I149" s="23"/>
      <c r="J149" s="23"/>
      <c r="K149" s="600"/>
    </row>
    <row r="150" spans="2:11" ht="15" customHeight="1">
      <c r="B150" s="599"/>
      <c r="C150" s="3"/>
      <c r="D150" s="617"/>
      <c r="E150" s="617"/>
      <c r="F150" s="617"/>
      <c r="G150" s="617"/>
      <c r="H150" s="617"/>
      <c r="I150" s="23"/>
      <c r="J150" s="23"/>
      <c r="K150" s="600"/>
    </row>
    <row r="151" spans="2:11" ht="13.5" thickBot="1">
      <c r="B151" s="655"/>
      <c r="C151" s="587"/>
      <c r="D151" s="586"/>
      <c r="E151" s="590"/>
      <c r="F151" s="586"/>
      <c r="G151" s="586"/>
      <c r="H151" s="590"/>
      <c r="I151" s="590"/>
      <c r="J151" s="590"/>
      <c r="K151" s="653"/>
    </row>
  </sheetData>
  <sheetProtection/>
  <protectedRanges>
    <protectedRange sqref="F87" name="Inputs"/>
    <protectedRange sqref="F88" name="Inputs_1"/>
    <protectedRange sqref="G110 F127 F108 F129:F150" name="Inputs_1_1"/>
  </protectedRanges>
  <mergeCells count="19">
    <mergeCell ref="C3:K3"/>
    <mergeCell ref="E47:F47"/>
    <mergeCell ref="I29:I30"/>
    <mergeCell ref="D74:G74"/>
    <mergeCell ref="D78:G78"/>
    <mergeCell ref="H51:I51"/>
    <mergeCell ref="E43:F43"/>
    <mergeCell ref="E44:F44"/>
    <mergeCell ref="E45:F45"/>
    <mergeCell ref="E46:F46"/>
    <mergeCell ref="D105:G105"/>
    <mergeCell ref="D110:H110"/>
    <mergeCell ref="E48:F48"/>
    <mergeCell ref="H123:H124"/>
    <mergeCell ref="D129:H129"/>
    <mergeCell ref="H113:I113"/>
    <mergeCell ref="D117:F117"/>
    <mergeCell ref="D119:G119"/>
    <mergeCell ref="H118:H119"/>
  </mergeCells>
  <conditionalFormatting sqref="H66">
    <cfRule type="cellIs" priority="7" dxfId="0" operator="equal">
      <formula>"Safe against Sliding"</formula>
    </cfRule>
  </conditionalFormatting>
  <conditionalFormatting sqref="E79 D74">
    <cfRule type="cellIs" priority="6" dxfId="0" operator="equal">
      <formula>"e&lt;L6 Eccentricity lies within middle third of the base hence OK"</formula>
    </cfRule>
  </conditionalFormatting>
  <conditionalFormatting sqref="H58:H59">
    <cfRule type="cellIs" priority="5" dxfId="4" operator="equal">
      <formula>"Safe against Overturning"</formula>
    </cfRule>
  </conditionalFormatting>
  <conditionalFormatting sqref="G90:G91">
    <cfRule type="expression" priority="4" dxfId="3">
      <formula>"$D$79&gt;1.4"</formula>
    </cfRule>
  </conditionalFormatting>
  <conditionalFormatting sqref="H123 D105">
    <cfRule type="cellIs" priority="3" dxfId="0" operator="equal">
      <formula>"Thickness of Stem is OK"</formula>
    </cfRule>
  </conditionalFormatting>
  <conditionalFormatting sqref="I125 I109:I110 D110 D129:D131 D135:D150">
    <cfRule type="cellIs" priority="2" dxfId="0" operator="equal">
      <formula>"Steel OK"</formula>
    </cfRule>
  </conditionalFormatting>
  <conditionalFormatting sqref="D78">
    <cfRule type="cellIs" priority="1" dxfId="5" operator="equal" stopIfTrue="1">
      <formula>"Max Pressure qmax&lt;SBC hence pressure on base is OK"</formula>
    </cfRule>
  </conditionalFormatting>
  <dataValidations count="3">
    <dataValidation type="list" allowBlank="1" showInputMessage="1" showErrorMessage="1" sqref="F87">
      <formula1>"15,20,25,30"</formula1>
    </dataValidation>
    <dataValidation type="list" allowBlank="1" showInputMessage="1" showErrorMessage="1" sqref="F88">
      <formula1>"250,415,500"</formula1>
    </dataValidation>
    <dataValidation type="list" showInputMessage="1" showErrorMessage="1" sqref="F127 F108">
      <formula1>"8,12,16,20"</formula1>
    </dataValidation>
  </dataValidations>
  <printOptions horizontalCentered="1"/>
  <pageMargins left="0.2" right="0.2" top="0.4" bottom="0.2" header="0" footer="0"/>
  <pageSetup orientation="portrait" paperSize="9" scale="70" r:id="rId2"/>
  <rowBreaks count="1" manualBreakCount="1">
    <brk id="82" max="255" man="1"/>
  </rowBreaks>
  <ignoredErrors>
    <ignoredError sqref="J117" formula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X166"/>
  <sheetViews>
    <sheetView zoomScalePageLayoutView="0" workbookViewId="0" topLeftCell="A113">
      <selection activeCell="H125" sqref="H125"/>
    </sheetView>
  </sheetViews>
  <sheetFormatPr defaultColWidth="9.140625" defaultRowHeight="12.75"/>
  <cols>
    <col min="1" max="1" width="9.140625" style="43" customWidth="1"/>
    <col min="2" max="2" width="3.28125" style="43" customWidth="1"/>
    <col min="3" max="3" width="3.00390625" style="216" bestFit="1" customWidth="1"/>
    <col min="4" max="4" width="4.7109375" style="524" customWidth="1"/>
    <col min="5" max="5" width="29.140625" style="43" customWidth="1"/>
    <col min="6" max="6" width="22.7109375" style="524" customWidth="1"/>
    <col min="7" max="7" width="29.8515625" style="524" customWidth="1"/>
    <col min="8" max="8" width="22.7109375" style="43" customWidth="1"/>
    <col min="9" max="9" width="12.421875" style="43" customWidth="1"/>
    <col min="10" max="10" width="13.57421875" style="43" customWidth="1"/>
    <col min="11" max="11" width="4.7109375" style="43" customWidth="1"/>
    <col min="12" max="16384" width="9.140625" style="43" customWidth="1"/>
  </cols>
  <sheetData>
    <row r="1" ht="13.5" thickBot="1"/>
    <row r="2" spans="2:11" ht="12.75">
      <c r="B2" s="957"/>
      <c r="C2" s="596"/>
      <c r="D2" s="958"/>
      <c r="E2" s="959"/>
      <c r="F2" s="958"/>
      <c r="G2" s="958"/>
      <c r="H2" s="959"/>
      <c r="I2" s="959"/>
      <c r="J2" s="959"/>
      <c r="K2" s="960"/>
    </row>
    <row r="3" spans="2:24" s="280" customFormat="1" ht="15.75">
      <c r="B3" s="1537" t="s">
        <v>933</v>
      </c>
      <c r="C3" s="1538"/>
      <c r="D3" s="1538"/>
      <c r="E3" s="1538"/>
      <c r="F3" s="1538"/>
      <c r="G3" s="1538"/>
      <c r="H3" s="1538"/>
      <c r="I3" s="1538"/>
      <c r="J3" s="1538"/>
      <c r="K3" s="1539"/>
      <c r="L3" s="286"/>
      <c r="O3" s="309"/>
      <c r="P3" s="309"/>
      <c r="Q3" s="309"/>
      <c r="R3" s="309"/>
      <c r="S3" s="309"/>
      <c r="T3" s="309"/>
      <c r="U3" s="309"/>
      <c r="V3" s="309"/>
      <c r="W3" s="309"/>
      <c r="X3" s="309"/>
    </row>
    <row r="4" spans="2:24" s="280" customFormat="1" ht="13.5" thickBot="1">
      <c r="B4" s="597"/>
      <c r="C4" s="587"/>
      <c r="D4" s="584"/>
      <c r="E4" s="585"/>
      <c r="F4" s="586"/>
      <c r="G4" s="586"/>
      <c r="H4" s="587"/>
      <c r="I4" s="583"/>
      <c r="J4" s="583"/>
      <c r="K4" s="598"/>
      <c r="L4" s="286"/>
      <c r="O4" s="309"/>
      <c r="P4" s="309"/>
      <c r="Q4" s="309"/>
      <c r="R4" s="309"/>
      <c r="S4" s="309"/>
      <c r="T4" s="309"/>
      <c r="U4" s="309"/>
      <c r="V4" s="309"/>
      <c r="W4" s="309"/>
      <c r="X4" s="309"/>
    </row>
    <row r="5" spans="2:24" s="280" customFormat="1" ht="12.75">
      <c r="B5" s="597"/>
      <c r="C5" s="3"/>
      <c r="D5" s="582"/>
      <c r="E5" s="482"/>
      <c r="F5" s="324"/>
      <c r="G5" s="324"/>
      <c r="H5" s="3"/>
      <c r="I5" s="4"/>
      <c r="J5" s="4"/>
      <c r="K5" s="598"/>
      <c r="L5" s="286"/>
      <c r="O5" s="309"/>
      <c r="P5" s="309"/>
      <c r="Q5" s="309"/>
      <c r="R5" s="309"/>
      <c r="S5" s="309"/>
      <c r="T5" s="309"/>
      <c r="U5" s="309"/>
      <c r="V5" s="309"/>
      <c r="W5" s="309"/>
      <c r="X5" s="309"/>
    </row>
    <row r="6" spans="2:12" ht="12.75">
      <c r="B6" s="1028"/>
      <c r="C6" s="1029">
        <v>1</v>
      </c>
      <c r="D6" s="1030" t="s">
        <v>557</v>
      </c>
      <c r="E6" s="1030"/>
      <c r="F6" s="1024"/>
      <c r="G6" s="324"/>
      <c r="H6" s="23"/>
      <c r="I6" s="23"/>
      <c r="J6" s="23"/>
      <c r="K6" s="600"/>
      <c r="L6" s="23"/>
    </row>
    <row r="7" spans="2:11" ht="12.75">
      <c r="B7" s="599"/>
      <c r="C7" s="3"/>
      <c r="D7" s="996" t="s">
        <v>558</v>
      </c>
      <c r="E7" s="609" t="s">
        <v>907</v>
      </c>
      <c r="F7" s="436" t="s">
        <v>227</v>
      </c>
      <c r="G7" s="632">
        <v>3</v>
      </c>
      <c r="H7" s="23"/>
      <c r="I7" s="23"/>
      <c r="J7" s="23"/>
      <c r="K7" s="600"/>
    </row>
    <row r="8" spans="2:11" ht="12.75">
      <c r="B8" s="599"/>
      <c r="C8" s="3"/>
      <c r="D8" s="996" t="s">
        <v>560</v>
      </c>
      <c r="E8" s="609" t="s">
        <v>924</v>
      </c>
      <c r="F8" s="436" t="s">
        <v>923</v>
      </c>
      <c r="G8" s="632">
        <v>0.5</v>
      </c>
      <c r="H8" s="23"/>
      <c r="I8" s="23"/>
      <c r="J8" s="23"/>
      <c r="K8" s="600"/>
    </row>
    <row r="9" spans="2:15" ht="15.75">
      <c r="B9" s="599"/>
      <c r="C9" s="3"/>
      <c r="D9" s="996" t="s">
        <v>562</v>
      </c>
      <c r="E9" s="609" t="s">
        <v>561</v>
      </c>
      <c r="F9" s="904" t="s">
        <v>619</v>
      </c>
      <c r="G9" s="629">
        <v>18</v>
      </c>
      <c r="H9" s="23"/>
      <c r="I9" s="392"/>
      <c r="J9" s="23"/>
      <c r="K9" s="601"/>
      <c r="M9" s="193"/>
      <c r="N9" s="192"/>
      <c r="O9" s="192"/>
    </row>
    <row r="10" spans="2:15" ht="15.75">
      <c r="B10" s="599"/>
      <c r="C10" s="3"/>
      <c r="D10" s="996" t="s">
        <v>566</v>
      </c>
      <c r="E10" s="609" t="s">
        <v>290</v>
      </c>
      <c r="F10" s="436" t="s">
        <v>618</v>
      </c>
      <c r="G10" s="628">
        <v>250</v>
      </c>
      <c r="H10" s="23"/>
      <c r="I10" s="23"/>
      <c r="J10" s="23"/>
      <c r="K10" s="601"/>
      <c r="M10" s="193"/>
      <c r="N10" s="192"/>
      <c r="O10" s="192"/>
    </row>
    <row r="11" spans="2:15" ht="14.25">
      <c r="B11" s="599"/>
      <c r="C11" s="3"/>
      <c r="D11" s="1455" t="s">
        <v>567</v>
      </c>
      <c r="E11" s="977" t="s">
        <v>563</v>
      </c>
      <c r="F11" s="1037" t="s">
        <v>573</v>
      </c>
      <c r="G11" s="631">
        <v>30</v>
      </c>
      <c r="H11" s="23"/>
      <c r="I11" s="23"/>
      <c r="J11" s="23"/>
      <c r="K11" s="601"/>
      <c r="M11" s="569"/>
      <c r="N11" s="569"/>
      <c r="O11" s="569"/>
    </row>
    <row r="12" spans="2:15" ht="14.25">
      <c r="B12" s="599"/>
      <c r="C12" s="3"/>
      <c r="D12" s="1456"/>
      <c r="E12" s="972"/>
      <c r="F12" s="1038"/>
      <c r="G12" s="630">
        <f>(G11*PI())/180</f>
        <v>0.5235987755982988</v>
      </c>
      <c r="H12" s="23"/>
      <c r="I12" s="23"/>
      <c r="J12" s="23"/>
      <c r="K12" s="601"/>
      <c r="M12" s="569"/>
      <c r="N12" s="569"/>
      <c r="O12" s="569"/>
    </row>
    <row r="13" spans="2:15" ht="14.25">
      <c r="B13" s="599"/>
      <c r="C13" s="3"/>
      <c r="D13" s="1455" t="s">
        <v>568</v>
      </c>
      <c r="E13" s="977" t="s">
        <v>564</v>
      </c>
      <c r="F13" s="1037" t="s">
        <v>572</v>
      </c>
      <c r="G13" s="631">
        <v>0</v>
      </c>
      <c r="H13" s="23"/>
      <c r="I13" s="398"/>
      <c r="J13" s="49"/>
      <c r="K13" s="601"/>
      <c r="M13" s="193"/>
      <c r="N13" s="192"/>
      <c r="O13" s="192"/>
    </row>
    <row r="14" spans="2:15" ht="14.25">
      <c r="B14" s="599"/>
      <c r="C14" s="3"/>
      <c r="D14" s="1456"/>
      <c r="E14" s="972"/>
      <c r="F14" s="1038"/>
      <c r="G14" s="630">
        <f>(G13*PI())/180</f>
        <v>0</v>
      </c>
      <c r="H14" s="23"/>
      <c r="I14" s="23"/>
      <c r="J14" s="23"/>
      <c r="K14" s="601"/>
      <c r="M14" s="193"/>
      <c r="N14" s="192"/>
      <c r="O14" s="192"/>
    </row>
    <row r="15" spans="2:11" ht="12.75">
      <c r="B15" s="599"/>
      <c r="C15" s="3"/>
      <c r="D15" s="996" t="s">
        <v>569</v>
      </c>
      <c r="E15" s="609" t="s">
        <v>565</v>
      </c>
      <c r="F15" s="573" t="s">
        <v>571</v>
      </c>
      <c r="G15" s="206">
        <v>0.5</v>
      </c>
      <c r="H15" s="23"/>
      <c r="I15" s="23"/>
      <c r="J15" s="23"/>
      <c r="K15" s="600"/>
    </row>
    <row r="16" spans="2:12" ht="15.75">
      <c r="B16" s="599"/>
      <c r="C16" s="3"/>
      <c r="D16" s="996" t="s">
        <v>569</v>
      </c>
      <c r="E16" s="609" t="s">
        <v>570</v>
      </c>
      <c r="F16" s="436" t="s">
        <v>620</v>
      </c>
      <c r="G16" s="628">
        <v>4</v>
      </c>
      <c r="H16" s="23"/>
      <c r="I16" s="23"/>
      <c r="J16" s="23"/>
      <c r="K16" s="600"/>
      <c r="L16" s="23"/>
    </row>
    <row r="17" spans="2:12" ht="13.5" thickBot="1">
      <c r="B17" s="599"/>
      <c r="C17" s="587"/>
      <c r="D17" s="589"/>
      <c r="E17" s="590"/>
      <c r="F17" s="586"/>
      <c r="G17" s="586"/>
      <c r="H17" s="590"/>
      <c r="I17" s="590"/>
      <c r="J17" s="590"/>
      <c r="K17" s="600"/>
      <c r="L17" s="23"/>
    </row>
    <row r="18" spans="2:12" ht="12.75">
      <c r="B18" s="599"/>
      <c r="C18" s="3"/>
      <c r="D18" s="324"/>
      <c r="E18" s="23"/>
      <c r="F18" s="324"/>
      <c r="G18" s="324"/>
      <c r="H18" s="23"/>
      <c r="I18" s="23"/>
      <c r="J18" s="23"/>
      <c r="K18" s="600"/>
      <c r="L18" s="23"/>
    </row>
    <row r="19" spans="2:12" ht="12.75">
      <c r="B19" s="1028"/>
      <c r="C19" s="1029">
        <v>2</v>
      </c>
      <c r="D19" s="1030" t="s">
        <v>574</v>
      </c>
      <c r="E19" s="1030"/>
      <c r="F19" s="1024"/>
      <c r="G19" s="324"/>
      <c r="H19" s="23"/>
      <c r="I19" s="23"/>
      <c r="J19" s="23"/>
      <c r="K19" s="600"/>
      <c r="L19" s="23"/>
    </row>
    <row r="20" spans="2:11" s="570" customFormat="1" ht="12.75">
      <c r="B20" s="602"/>
      <c r="C20" s="472"/>
      <c r="D20" s="997" t="s">
        <v>558</v>
      </c>
      <c r="E20" s="977" t="s">
        <v>726</v>
      </c>
      <c r="F20" s="978"/>
      <c r="G20" s="981" t="s">
        <v>575</v>
      </c>
      <c r="H20" s="983">
        <f>((COS(G14)-SQRT(((COS(G14))^2)-((COS(G12))^2)))/(COS(G14)+SQRT(((COS(G14))^2)-((COS(G12))^2))))*(COS(G14))</f>
        <v>0.3333333333333334</v>
      </c>
      <c r="I20" s="129"/>
      <c r="J20" s="129"/>
      <c r="K20" s="603"/>
    </row>
    <row r="21" spans="2:11" s="570" customFormat="1" ht="26.25" customHeight="1">
      <c r="B21" s="602"/>
      <c r="C21" s="472"/>
      <c r="D21" s="998"/>
      <c r="E21" s="979" t="s">
        <v>727</v>
      </c>
      <c r="F21" s="980"/>
      <c r="G21" s="982"/>
      <c r="H21" s="984"/>
      <c r="I21" s="129"/>
      <c r="J21" s="129"/>
      <c r="K21" s="603"/>
    </row>
    <row r="22" spans="2:11" s="570" customFormat="1" ht="12.75">
      <c r="B22" s="602"/>
      <c r="C22" s="472"/>
      <c r="D22" s="997" t="s">
        <v>560</v>
      </c>
      <c r="E22" s="977" t="s">
        <v>576</v>
      </c>
      <c r="F22" s="978"/>
      <c r="G22" s="981" t="s">
        <v>577</v>
      </c>
      <c r="H22" s="983">
        <f>(1+SIN(G12))/(1-SIN(G12))</f>
        <v>3</v>
      </c>
      <c r="I22" s="129"/>
      <c r="J22" s="129"/>
      <c r="K22" s="603"/>
    </row>
    <row r="23" spans="2:12" s="570" customFormat="1" ht="12.75">
      <c r="B23" s="602"/>
      <c r="C23" s="472"/>
      <c r="D23" s="998"/>
      <c r="E23" s="972" t="s">
        <v>578</v>
      </c>
      <c r="F23" s="973"/>
      <c r="G23" s="982"/>
      <c r="H23" s="984"/>
      <c r="I23" s="129"/>
      <c r="J23" s="129"/>
      <c r="K23" s="603"/>
      <c r="L23" s="129"/>
    </row>
    <row r="24" spans="2:12" ht="13.5" thickBot="1">
      <c r="B24" s="599"/>
      <c r="C24" s="587"/>
      <c r="D24" s="586"/>
      <c r="E24" s="590"/>
      <c r="F24" s="586"/>
      <c r="G24" s="586"/>
      <c r="H24" s="590"/>
      <c r="I24" s="590"/>
      <c r="J24" s="590"/>
      <c r="K24" s="600"/>
      <c r="L24" s="23"/>
    </row>
    <row r="25" spans="2:12" ht="12.75">
      <c r="B25" s="599"/>
      <c r="C25" s="3"/>
      <c r="D25" s="324"/>
      <c r="E25" s="23"/>
      <c r="F25" s="324"/>
      <c r="G25" s="324"/>
      <c r="H25" s="23"/>
      <c r="I25" s="23"/>
      <c r="J25" s="23"/>
      <c r="K25" s="600"/>
      <c r="L25" s="23"/>
    </row>
    <row r="26" spans="2:12" ht="12.75">
      <c r="B26" s="1028"/>
      <c r="C26" s="1029">
        <v>3</v>
      </c>
      <c r="D26" s="1031" t="s">
        <v>579</v>
      </c>
      <c r="E26" s="1031"/>
      <c r="F26" s="125"/>
      <c r="G26" s="324"/>
      <c r="H26" s="23"/>
      <c r="I26" s="23"/>
      <c r="J26" s="23"/>
      <c r="K26" s="600"/>
      <c r="L26" s="23"/>
    </row>
    <row r="27" spans="2:11" ht="12.75">
      <c r="B27" s="599"/>
      <c r="C27" s="3"/>
      <c r="D27" s="398"/>
      <c r="E27" s="579"/>
      <c r="F27" s="324"/>
      <c r="G27" s="324"/>
      <c r="H27" s="576" t="s">
        <v>641</v>
      </c>
      <c r="I27" s="577" t="s">
        <v>642</v>
      </c>
      <c r="J27" s="23"/>
      <c r="K27" s="600"/>
    </row>
    <row r="28" spans="2:11" ht="15.75">
      <c r="B28" s="599"/>
      <c r="C28" s="3"/>
      <c r="D28" s="996" t="s">
        <v>558</v>
      </c>
      <c r="E28" s="571" t="s">
        <v>580</v>
      </c>
      <c r="F28" s="615"/>
      <c r="G28" s="571" t="s">
        <v>581</v>
      </c>
      <c r="H28" s="1039" t="s">
        <v>914</v>
      </c>
      <c r="I28" s="632">
        <v>0.2</v>
      </c>
      <c r="J28" s="23"/>
      <c r="K28" s="600"/>
    </row>
    <row r="29" spans="2:11" ht="15.75">
      <c r="B29" s="599"/>
      <c r="C29" s="3"/>
      <c r="D29" s="996" t="s">
        <v>560</v>
      </c>
      <c r="E29" s="571" t="s">
        <v>582</v>
      </c>
      <c r="F29" s="615"/>
      <c r="G29" s="571" t="s">
        <v>686</v>
      </c>
      <c r="H29" s="273">
        <f>0.08*(G7)</f>
        <v>0.24</v>
      </c>
      <c r="I29" s="632">
        <v>0.45</v>
      </c>
      <c r="J29" s="23"/>
      <c r="K29" s="600"/>
    </row>
    <row r="30" spans="2:11" ht="15.75">
      <c r="B30" s="599"/>
      <c r="C30" s="3"/>
      <c r="D30" s="997" t="s">
        <v>562</v>
      </c>
      <c r="E30" s="1011" t="s">
        <v>583</v>
      </c>
      <c r="F30" s="1541" t="s">
        <v>946</v>
      </c>
      <c r="G30" s="571" t="s">
        <v>944</v>
      </c>
      <c r="H30" s="273">
        <f>1-(G10/(2.7*G9*H42))</f>
        <v>-0.5964240102171134</v>
      </c>
      <c r="I30" s="1490">
        <v>2.45</v>
      </c>
      <c r="J30" s="23"/>
      <c r="K30" s="600"/>
    </row>
    <row r="31" spans="2:11" ht="12.75">
      <c r="B31" s="599"/>
      <c r="C31" s="3"/>
      <c r="D31" s="1090"/>
      <c r="E31" s="409"/>
      <c r="F31" s="1541"/>
      <c r="G31" s="571" t="s">
        <v>945</v>
      </c>
      <c r="H31" s="273">
        <f>H42*SQRT((H20*G14)/((1-H30)*(1+(3*H30))))</f>
        <v>0</v>
      </c>
      <c r="I31" s="1540"/>
      <c r="J31" s="23"/>
      <c r="K31" s="600"/>
    </row>
    <row r="32" spans="2:11" ht="15.75">
      <c r="B32" s="599"/>
      <c r="C32" s="3"/>
      <c r="D32" s="1090"/>
      <c r="E32" s="409"/>
      <c r="F32" s="1541" t="s">
        <v>947</v>
      </c>
      <c r="G32" s="1089" t="s">
        <v>949</v>
      </c>
      <c r="H32" s="273">
        <f>1-(G10/(2.2*G9*H42))</f>
        <v>-0.9592476489028212</v>
      </c>
      <c r="I32" s="1540"/>
      <c r="J32" s="23"/>
      <c r="K32" s="600"/>
    </row>
    <row r="33" spans="2:11" ht="12.75">
      <c r="B33" s="599"/>
      <c r="C33" s="3"/>
      <c r="D33" s="1090"/>
      <c r="E33" s="409"/>
      <c r="F33" s="1541"/>
      <c r="G33" s="571" t="s">
        <v>948</v>
      </c>
      <c r="H33" s="273">
        <f>0.95*H42*SQRT((H20*G14)/((1-H32)*(1+(3*H32))))</f>
        <v>0</v>
      </c>
      <c r="I33" s="1540"/>
      <c r="J33" s="23"/>
      <c r="K33" s="600"/>
    </row>
    <row r="34" spans="2:12" ht="12.75">
      <c r="B34" s="599"/>
      <c r="C34" s="3"/>
      <c r="D34" s="998"/>
      <c r="E34" s="1013"/>
      <c r="F34" s="574"/>
      <c r="G34" s="571" t="s">
        <v>640</v>
      </c>
      <c r="H34" s="273">
        <f>0.65*H42</f>
        <v>2.0944444444444446</v>
      </c>
      <c r="I34" s="1491"/>
      <c r="J34" s="23"/>
      <c r="K34" s="600"/>
      <c r="L34" s="43">
        <f>((H20)/((1-H32)*(1+(3*H32))))</f>
        <v>-0.09060523094045636</v>
      </c>
    </row>
    <row r="35" spans="2:12" ht="12.75">
      <c r="B35" s="599"/>
      <c r="C35" s="3"/>
      <c r="D35" s="398"/>
      <c r="E35" s="591"/>
      <c r="F35" s="591"/>
      <c r="G35" s="591"/>
      <c r="H35" s="49"/>
      <c r="I35" s="49"/>
      <c r="J35" s="592"/>
      <c r="K35" s="600"/>
      <c r="L35" s="43">
        <f>((1-H32)*(1+(3*H32)))</f>
        <v>-3.678963453582413</v>
      </c>
    </row>
    <row r="36" spans="2:11" ht="15.75">
      <c r="B36" s="599"/>
      <c r="C36" s="3"/>
      <c r="D36" s="996" t="s">
        <v>566</v>
      </c>
      <c r="E36" s="571" t="s">
        <v>656</v>
      </c>
      <c r="F36" s="615"/>
      <c r="G36" s="571" t="s">
        <v>631</v>
      </c>
      <c r="H36" s="273">
        <f>G16/G9</f>
        <v>0.2222222222222222</v>
      </c>
      <c r="I36" s="23"/>
      <c r="J36" s="23"/>
      <c r="K36" s="600"/>
    </row>
    <row r="37" spans="2:11" ht="15.75">
      <c r="B37" s="599"/>
      <c r="C37" s="3"/>
      <c r="D37" s="996" t="s">
        <v>567</v>
      </c>
      <c r="E37" s="571" t="s">
        <v>636</v>
      </c>
      <c r="F37" s="615"/>
      <c r="G37" s="571" t="s">
        <v>639</v>
      </c>
      <c r="H37" s="273">
        <f>G7+H36</f>
        <v>3.2222222222222223</v>
      </c>
      <c r="I37" s="1091"/>
      <c r="J37" s="23"/>
      <c r="K37" s="600"/>
    </row>
    <row r="38" spans="2:11" ht="12.75">
      <c r="B38" s="599"/>
      <c r="C38" s="3"/>
      <c r="D38" s="398"/>
      <c r="E38" s="49"/>
      <c r="F38" s="49"/>
      <c r="G38" s="905"/>
      <c r="H38" s="23"/>
      <c r="I38" s="23"/>
      <c r="J38" s="23"/>
      <c r="K38" s="600"/>
    </row>
    <row r="39" spans="2:11" ht="15.75">
      <c r="B39" s="599"/>
      <c r="C39" s="3"/>
      <c r="D39" s="996" t="s">
        <v>568</v>
      </c>
      <c r="E39" s="571" t="s">
        <v>635</v>
      </c>
      <c r="F39" s="615"/>
      <c r="G39" s="571" t="s">
        <v>654</v>
      </c>
      <c r="H39" s="273">
        <f>(I30-I28)*(TAN(G14))</f>
        <v>0</v>
      </c>
      <c r="I39" s="23"/>
      <c r="J39" s="23"/>
      <c r="K39" s="600"/>
    </row>
    <row r="40" spans="2:11" ht="15.75">
      <c r="B40" s="599"/>
      <c r="C40" s="3"/>
      <c r="D40" s="996" t="s">
        <v>569</v>
      </c>
      <c r="E40" s="571" t="s">
        <v>637</v>
      </c>
      <c r="F40" s="615"/>
      <c r="G40" s="571" t="s">
        <v>655</v>
      </c>
      <c r="H40" s="273">
        <f>G7+H39</f>
        <v>3</v>
      </c>
      <c r="I40" s="23"/>
      <c r="J40" s="23"/>
      <c r="K40" s="600"/>
    </row>
    <row r="41" spans="2:11" ht="12.75">
      <c r="B41" s="599"/>
      <c r="C41" s="3"/>
      <c r="D41" s="398"/>
      <c r="E41" s="579"/>
      <c r="F41" s="49"/>
      <c r="G41" s="905"/>
      <c r="H41" s="23"/>
      <c r="I41" s="23"/>
      <c r="J41" s="23"/>
      <c r="K41" s="600"/>
    </row>
    <row r="42" spans="2:12" ht="15.75">
      <c r="B42" s="599"/>
      <c r="C42" s="3"/>
      <c r="D42" s="996" t="s">
        <v>643</v>
      </c>
      <c r="E42" s="571" t="s">
        <v>667</v>
      </c>
      <c r="F42" s="615"/>
      <c r="G42" s="615"/>
      <c r="H42" s="273">
        <f>MAX(H37,H40)</f>
        <v>3.2222222222222223</v>
      </c>
      <c r="I42" s="23"/>
      <c r="J42" s="23"/>
      <c r="K42" s="600"/>
      <c r="L42" s="23"/>
    </row>
    <row r="43" spans="2:12" ht="12.75">
      <c r="B43" s="599"/>
      <c r="C43" s="3"/>
      <c r="D43" s="398"/>
      <c r="E43" s="591"/>
      <c r="F43" s="591"/>
      <c r="G43" s="591"/>
      <c r="H43" s="49"/>
      <c r="I43" s="49"/>
      <c r="J43" s="592"/>
      <c r="K43" s="600"/>
      <c r="L43" s="23"/>
    </row>
    <row r="44" spans="2:12" ht="13.5" thickBot="1">
      <c r="B44" s="599"/>
      <c r="C44" s="587"/>
      <c r="D44" s="589"/>
      <c r="E44" s="593"/>
      <c r="F44" s="593"/>
      <c r="G44" s="593"/>
      <c r="H44" s="594"/>
      <c r="I44" s="594"/>
      <c r="J44" s="595"/>
      <c r="K44" s="600"/>
      <c r="L44" s="23"/>
    </row>
    <row r="45" spans="2:12" ht="12.75">
      <c r="B45" s="599"/>
      <c r="C45" s="3"/>
      <c r="D45" s="398"/>
      <c r="E45" s="579"/>
      <c r="F45" s="49"/>
      <c r="G45" s="49"/>
      <c r="H45" s="23"/>
      <c r="I45" s="23"/>
      <c r="J45" s="392"/>
      <c r="K45" s="600"/>
      <c r="L45" s="23"/>
    </row>
    <row r="46" spans="2:12" ht="12.75">
      <c r="B46" s="1028"/>
      <c r="C46" s="1029">
        <v>4</v>
      </c>
      <c r="D46" s="1030" t="s">
        <v>585</v>
      </c>
      <c r="E46" s="1030"/>
      <c r="F46" s="1024"/>
      <c r="G46" s="1024"/>
      <c r="H46" s="23"/>
      <c r="I46" s="23"/>
      <c r="J46" s="23"/>
      <c r="K46" s="600"/>
      <c r="L46" s="23"/>
    </row>
    <row r="47" spans="2:12" ht="15.75">
      <c r="B47" s="599"/>
      <c r="C47" s="3"/>
      <c r="D47" s="995" t="s">
        <v>558</v>
      </c>
      <c r="E47" s="1480" t="s">
        <v>632</v>
      </c>
      <c r="F47" s="1481"/>
      <c r="G47" s="991" t="s">
        <v>908</v>
      </c>
      <c r="H47" s="302">
        <f>H20*G16*H42</f>
        <v>4.296296296296298</v>
      </c>
      <c r="I47" s="49"/>
      <c r="K47" s="600"/>
      <c r="L47" s="23"/>
    </row>
    <row r="48" spans="2:12" ht="15.75">
      <c r="B48" s="599"/>
      <c r="C48" s="3"/>
      <c r="D48" s="995" t="s">
        <v>560</v>
      </c>
      <c r="E48" s="1480" t="s">
        <v>633</v>
      </c>
      <c r="F48" s="1481"/>
      <c r="G48" s="991" t="s">
        <v>909</v>
      </c>
      <c r="H48" s="302">
        <f>(H20*G9*H42^2)/2</f>
        <v>31.14814814814816</v>
      </c>
      <c r="I48" s="49"/>
      <c r="K48" s="600"/>
      <c r="L48" s="23"/>
    </row>
    <row r="49" spans="2:12" ht="15.75">
      <c r="B49" s="599"/>
      <c r="C49" s="3"/>
      <c r="D49" s="995" t="s">
        <v>562</v>
      </c>
      <c r="E49" s="1480" t="s">
        <v>888</v>
      </c>
      <c r="F49" s="1481"/>
      <c r="G49" s="991" t="s">
        <v>910</v>
      </c>
      <c r="H49" s="302">
        <f>H47+H48</f>
        <v>35.44444444444446</v>
      </c>
      <c r="I49" s="49"/>
      <c r="K49" s="600"/>
      <c r="L49" s="23"/>
    </row>
    <row r="50" spans="2:12" ht="15.75">
      <c r="B50" s="599"/>
      <c r="C50" s="3"/>
      <c r="D50" s="995" t="s">
        <v>566</v>
      </c>
      <c r="E50" s="1480" t="s">
        <v>883</v>
      </c>
      <c r="F50" s="1481"/>
      <c r="G50" s="991" t="s">
        <v>911</v>
      </c>
      <c r="H50" s="302">
        <f>H47*H42/2</f>
        <v>6.921810699588479</v>
      </c>
      <c r="I50" s="49"/>
      <c r="K50" s="600"/>
      <c r="L50" s="23"/>
    </row>
    <row r="51" spans="2:12" ht="15.75">
      <c r="B51" s="599"/>
      <c r="C51" s="3"/>
      <c r="D51" s="995" t="s">
        <v>567</v>
      </c>
      <c r="E51" s="1480" t="s">
        <v>884</v>
      </c>
      <c r="F51" s="1481"/>
      <c r="G51" s="991" t="s">
        <v>912</v>
      </c>
      <c r="H51" s="302">
        <f>H48*H42/3</f>
        <v>33.45541838134432</v>
      </c>
      <c r="I51" s="49"/>
      <c r="K51" s="600"/>
      <c r="L51" s="23"/>
    </row>
    <row r="52" spans="2:12" ht="15.75">
      <c r="B52" s="599"/>
      <c r="C52" s="3"/>
      <c r="D52" s="995" t="s">
        <v>568</v>
      </c>
      <c r="E52" s="1480" t="s">
        <v>919</v>
      </c>
      <c r="F52" s="1481"/>
      <c r="G52" s="991" t="s">
        <v>885</v>
      </c>
      <c r="H52" s="302">
        <f>(1.2*H51)+(1.4*H50)</f>
        <v>49.83703703703706</v>
      </c>
      <c r="I52" s="49"/>
      <c r="K52" s="600"/>
      <c r="L52" s="23"/>
    </row>
    <row r="53" spans="2:12" ht="12.75">
      <c r="B53" s="599"/>
      <c r="C53" s="3"/>
      <c r="D53" s="324"/>
      <c r="E53" s="1003"/>
      <c r="F53" s="324"/>
      <c r="G53" s="324"/>
      <c r="H53" s="23"/>
      <c r="I53" s="23"/>
      <c r="J53" s="23"/>
      <c r="K53" s="600"/>
      <c r="L53" s="23"/>
    </row>
    <row r="54" spans="2:12" ht="12.75">
      <c r="B54" s="599"/>
      <c r="C54" s="3"/>
      <c r="D54" s="324"/>
      <c r="E54" s="23"/>
      <c r="F54" s="324"/>
      <c r="G54" s="324"/>
      <c r="H54" s="23"/>
      <c r="I54" s="23"/>
      <c r="J54" s="23"/>
      <c r="K54" s="600"/>
      <c r="L54" s="23"/>
    </row>
    <row r="55" spans="2:11" ht="12.75" customHeight="1">
      <c r="B55" s="599"/>
      <c r="C55" s="3"/>
      <c r="D55" s="996" t="s">
        <v>567</v>
      </c>
      <c r="E55" s="968" t="s">
        <v>34</v>
      </c>
      <c r="F55" s="969"/>
      <c r="G55" s="970"/>
      <c r="H55" s="1518" t="s">
        <v>930</v>
      </c>
      <c r="I55" s="1519"/>
      <c r="J55" s="610" t="s">
        <v>1</v>
      </c>
      <c r="K55" s="600"/>
    </row>
    <row r="56" spans="2:11" ht="15.75">
      <c r="B56" s="599"/>
      <c r="C56" s="3"/>
      <c r="D56" s="996" t="s">
        <v>657</v>
      </c>
      <c r="E56" s="580" t="s">
        <v>920</v>
      </c>
      <c r="F56" s="613" t="s">
        <v>925</v>
      </c>
      <c r="G56" s="302">
        <f>(I30-I28)*(G8-I29)*G9</f>
        <v>2.0249999999999995</v>
      </c>
      <c r="H56" s="609" t="s">
        <v>921</v>
      </c>
      <c r="I56" s="273">
        <f>((I30-I28)/2)</f>
        <v>1.125</v>
      </c>
      <c r="J56" s="635">
        <f>G56*I56</f>
        <v>2.2781249999999993</v>
      </c>
      <c r="K56" s="600"/>
    </row>
    <row r="57" spans="2:11" ht="15.75">
      <c r="B57" s="599"/>
      <c r="C57" s="3"/>
      <c r="D57" s="996" t="s">
        <v>881</v>
      </c>
      <c r="E57" s="580" t="s">
        <v>711</v>
      </c>
      <c r="F57" s="613" t="s">
        <v>712</v>
      </c>
      <c r="G57" s="302">
        <f>I28*(H42-I29)*25</f>
        <v>13.86111111111111</v>
      </c>
      <c r="H57" s="609" t="s">
        <v>937</v>
      </c>
      <c r="I57" s="273">
        <f>(I28/2)+(I30-I28)</f>
        <v>2.35</v>
      </c>
      <c r="J57" s="635">
        <f>G57*I57</f>
        <v>32.57361111111111</v>
      </c>
      <c r="K57" s="600"/>
    </row>
    <row r="58" spans="2:11" ht="15.75">
      <c r="B58" s="599"/>
      <c r="C58" s="3"/>
      <c r="D58" s="996" t="s">
        <v>882</v>
      </c>
      <c r="E58" s="580" t="s">
        <v>716</v>
      </c>
      <c r="F58" s="613" t="s">
        <v>713</v>
      </c>
      <c r="G58" s="302">
        <f>I30*I29*25</f>
        <v>27.5625</v>
      </c>
      <c r="H58" s="609" t="s">
        <v>594</v>
      </c>
      <c r="I58" s="273">
        <f>I30/2</f>
        <v>1.225</v>
      </c>
      <c r="J58" s="635">
        <f>G58*I58</f>
        <v>33.7640625</v>
      </c>
      <c r="K58" s="600"/>
    </row>
    <row r="59" spans="2:11" ht="15.75">
      <c r="B59" s="599"/>
      <c r="C59" s="3"/>
      <c r="D59" s="996" t="s">
        <v>661</v>
      </c>
      <c r="E59" s="580" t="s">
        <v>425</v>
      </c>
      <c r="F59" s="1057" t="s">
        <v>935</v>
      </c>
      <c r="G59" s="301">
        <v>0</v>
      </c>
      <c r="H59" s="1515"/>
      <c r="I59" s="1516"/>
      <c r="J59" s="635"/>
      <c r="K59" s="600"/>
    </row>
    <row r="60" spans="2:11" ht="15.75">
      <c r="B60" s="599"/>
      <c r="C60" s="3"/>
      <c r="D60" s="1512" t="s">
        <v>595</v>
      </c>
      <c r="E60" s="1517"/>
      <c r="F60" s="1513"/>
      <c r="G60" s="634">
        <f>SUM(G56:G59)</f>
        <v>43.448611111111106</v>
      </c>
      <c r="H60" s="1512" t="s">
        <v>596</v>
      </c>
      <c r="I60" s="1513"/>
      <c r="J60" s="633">
        <f>SUM(J56:J58)</f>
        <v>68.6157986111111</v>
      </c>
      <c r="K60" s="600"/>
    </row>
    <row r="61" spans="2:12" ht="12.75">
      <c r="B61" s="599"/>
      <c r="C61" s="3"/>
      <c r="D61" s="324"/>
      <c r="E61" s="23"/>
      <c r="F61" s="324"/>
      <c r="G61" s="324"/>
      <c r="H61" s="23"/>
      <c r="I61" s="23"/>
      <c r="J61" s="23"/>
      <c r="K61" s="600"/>
      <c r="L61" s="23"/>
    </row>
    <row r="62" spans="2:11" ht="15.75">
      <c r="B62" s="599"/>
      <c r="C62" s="3"/>
      <c r="D62" s="1004" t="s">
        <v>600</v>
      </c>
      <c r="E62" s="609" t="s">
        <v>886</v>
      </c>
      <c r="F62" s="999"/>
      <c r="G62" s="1000"/>
      <c r="H62" s="992" t="str">
        <f>IF(J60&gt;H52,"Safe against Overturning","Unsafe against Overturning")</f>
        <v>Safe against Overturning</v>
      </c>
      <c r="I62" s="993"/>
      <c r="J62" s="994"/>
      <c r="K62" s="600"/>
    </row>
    <row r="63" spans="2:11" ht="12.75">
      <c r="B63" s="599"/>
      <c r="C63" s="3"/>
      <c r="D63" s="1001"/>
      <c r="E63" s="1003" t="s">
        <v>887</v>
      </c>
      <c r="F63" s="614"/>
      <c r="G63" s="614"/>
      <c r="H63" s="1002"/>
      <c r="I63" s="1002"/>
      <c r="J63" s="1002"/>
      <c r="K63" s="600"/>
    </row>
    <row r="64" spans="2:12" ht="13.5" thickBot="1">
      <c r="B64" s="599"/>
      <c r="C64" s="587"/>
      <c r="D64" s="586"/>
      <c r="E64" s="590"/>
      <c r="F64" s="586"/>
      <c r="G64" s="586"/>
      <c r="H64" s="590"/>
      <c r="I64" s="590"/>
      <c r="J64" s="590"/>
      <c r="K64" s="600"/>
      <c r="L64" s="23"/>
    </row>
    <row r="65" spans="2:12" ht="12.75">
      <c r="B65" s="599"/>
      <c r="C65" s="3"/>
      <c r="D65" s="324"/>
      <c r="E65" s="23"/>
      <c r="F65" s="324"/>
      <c r="G65" s="324"/>
      <c r="H65" s="23"/>
      <c r="I65" s="23"/>
      <c r="J65" s="23"/>
      <c r="K65" s="600"/>
      <c r="L65" s="23"/>
    </row>
    <row r="66" spans="2:12" ht="12.75">
      <c r="B66" s="1028"/>
      <c r="C66" s="1029">
        <v>5</v>
      </c>
      <c r="D66" s="1030" t="s">
        <v>602</v>
      </c>
      <c r="E66" s="1030"/>
      <c r="F66" s="1024"/>
      <c r="G66" s="324"/>
      <c r="H66" s="23"/>
      <c r="I66" s="23"/>
      <c r="J66" s="23"/>
      <c r="K66" s="600"/>
      <c r="L66" s="23"/>
    </row>
    <row r="67" spans="2:12" ht="15.75">
      <c r="B67" s="599"/>
      <c r="C67" s="3"/>
      <c r="D67" s="996" t="s">
        <v>558</v>
      </c>
      <c r="E67" s="902" t="s">
        <v>603</v>
      </c>
      <c r="F67" s="902"/>
      <c r="G67" s="902"/>
      <c r="H67" s="436" t="s">
        <v>913</v>
      </c>
      <c r="I67" s="302">
        <f>H49</f>
        <v>35.44444444444446</v>
      </c>
      <c r="J67" s="23"/>
      <c r="K67" s="600"/>
      <c r="L67" s="23"/>
    </row>
    <row r="68" spans="2:12" ht="12.75">
      <c r="B68" s="599"/>
      <c r="C68" s="3"/>
      <c r="D68" s="996" t="s">
        <v>560</v>
      </c>
      <c r="E68" s="902" t="s">
        <v>605</v>
      </c>
      <c r="F68" s="902"/>
      <c r="G68" s="902"/>
      <c r="H68" s="436" t="s">
        <v>606</v>
      </c>
      <c r="I68" s="302">
        <f>G15*G60</f>
        <v>21.724305555555553</v>
      </c>
      <c r="J68" s="23"/>
      <c r="K68" s="600"/>
      <c r="L68" s="23"/>
    </row>
    <row r="69" spans="2:12" ht="12.75">
      <c r="B69" s="599"/>
      <c r="C69" s="3"/>
      <c r="D69" s="324"/>
      <c r="E69" s="23"/>
      <c r="F69" s="324"/>
      <c r="G69" s="324"/>
      <c r="H69" s="23"/>
      <c r="I69" s="23"/>
      <c r="J69" s="23"/>
      <c r="K69" s="600"/>
      <c r="L69" s="23"/>
    </row>
    <row r="70" spans="2:12" ht="15.75">
      <c r="B70" s="599"/>
      <c r="C70" s="3"/>
      <c r="D70" s="1032" t="s">
        <v>607</v>
      </c>
      <c r="E70" s="971" t="s">
        <v>889</v>
      </c>
      <c r="F70" s="588">
        <f>(0.9*I68)/I67</f>
        <v>0.5516202978056424</v>
      </c>
      <c r="G70" s="578" t="str">
        <f>IF(F70&gt;1.4,"&gt; 1.4","&lt; 1.4")</f>
        <v>&lt; 1.4</v>
      </c>
      <c r="H70" s="985" t="str">
        <f>IF(F70&gt;=1.4,"Safe against Sliding","Unsafe against Sliding")</f>
        <v>Unsafe against Sliding</v>
      </c>
      <c r="I70" s="986"/>
      <c r="J70" s="23"/>
      <c r="K70" s="600"/>
      <c r="L70" s="23"/>
    </row>
    <row r="71" spans="2:12" ht="12.75">
      <c r="B71" s="599"/>
      <c r="C71" s="3"/>
      <c r="D71" s="398"/>
      <c r="E71" s="1003" t="s">
        <v>916</v>
      </c>
      <c r="F71" s="324"/>
      <c r="G71" s="324"/>
      <c r="H71" s="23"/>
      <c r="I71" s="23"/>
      <c r="J71" s="23"/>
      <c r="K71" s="600"/>
      <c r="L71" s="23"/>
    </row>
    <row r="72" spans="2:12" ht="12.75">
      <c r="B72" s="599"/>
      <c r="C72" s="3"/>
      <c r="D72" s="398"/>
      <c r="E72" s="1003"/>
      <c r="F72" s="324"/>
      <c r="G72" s="324"/>
      <c r="H72" s="23"/>
      <c r="I72" s="23"/>
      <c r="J72" s="23"/>
      <c r="K72" s="600"/>
      <c r="L72" s="23"/>
    </row>
    <row r="73" spans="2:11" ht="12.75">
      <c r="B73" s="599"/>
      <c r="D73" s="1087" t="s">
        <v>943</v>
      </c>
      <c r="E73" s="1088" t="s">
        <v>609</v>
      </c>
      <c r="F73" s="579"/>
      <c r="G73" s="579"/>
      <c r="H73" s="579"/>
      <c r="I73" s="23"/>
      <c r="J73" s="23"/>
      <c r="K73" s="600"/>
    </row>
    <row r="74" spans="2:11" ht="12.75">
      <c r="B74" s="599"/>
      <c r="C74" s="3"/>
      <c r="D74" s="1455" t="s">
        <v>648</v>
      </c>
      <c r="E74" s="1468" t="s">
        <v>610</v>
      </c>
      <c r="F74" s="1473" t="s">
        <v>611</v>
      </c>
      <c r="G74" s="1475"/>
      <c r="H74" s="632">
        <v>0.3</v>
      </c>
      <c r="I74" s="23"/>
      <c r="J74" s="23"/>
      <c r="K74" s="600"/>
    </row>
    <row r="75" spans="2:11" ht="12.75">
      <c r="B75" s="599"/>
      <c r="C75" s="3"/>
      <c r="D75" s="1456"/>
      <c r="E75" s="1469"/>
      <c r="F75" s="1473" t="s">
        <v>136</v>
      </c>
      <c r="G75" s="1475"/>
      <c r="H75" s="632">
        <v>0.3</v>
      </c>
      <c r="I75" s="23"/>
      <c r="J75" s="23"/>
      <c r="K75" s="600"/>
    </row>
    <row r="76" spans="2:11" ht="12.75">
      <c r="B76" s="599"/>
      <c r="C76" s="3"/>
      <c r="D76" s="996" t="s">
        <v>649</v>
      </c>
      <c r="E76" s="580" t="s">
        <v>612</v>
      </c>
      <c r="F76" s="1473" t="s">
        <v>215</v>
      </c>
      <c r="G76" s="1475"/>
      <c r="H76" s="636">
        <v>0.3</v>
      </c>
      <c r="I76" s="23"/>
      <c r="J76" s="23"/>
      <c r="K76" s="600"/>
    </row>
    <row r="77" spans="2:11" ht="15.75">
      <c r="B77" s="599"/>
      <c r="C77" s="3"/>
      <c r="D77" s="996" t="s">
        <v>650</v>
      </c>
      <c r="E77" s="580" t="s">
        <v>613</v>
      </c>
      <c r="F77" s="1473" t="s">
        <v>614</v>
      </c>
      <c r="G77" s="1475"/>
      <c r="H77" s="636">
        <v>0.6</v>
      </c>
      <c r="I77" s="23"/>
      <c r="J77" s="23"/>
      <c r="K77" s="600"/>
    </row>
    <row r="78" spans="2:11" ht="15.75">
      <c r="B78" s="599"/>
      <c r="C78" s="3"/>
      <c r="D78" s="996" t="s">
        <v>651</v>
      </c>
      <c r="E78" s="580" t="s">
        <v>940</v>
      </c>
      <c r="F78" s="1473" t="s">
        <v>646</v>
      </c>
      <c r="G78" s="1475"/>
      <c r="H78" s="637">
        <f>H77+H75+(H76*TAN(G12))</f>
        <v>1.0732050807568876</v>
      </c>
      <c r="I78" s="23"/>
      <c r="J78" s="23"/>
      <c r="K78" s="600"/>
    </row>
    <row r="79" spans="2:11" ht="15.75">
      <c r="B79" s="599"/>
      <c r="C79" s="3"/>
      <c r="D79" s="996" t="s">
        <v>634</v>
      </c>
      <c r="E79" s="580" t="s">
        <v>615</v>
      </c>
      <c r="F79" s="1473" t="s">
        <v>621</v>
      </c>
      <c r="G79" s="1475"/>
      <c r="H79" s="634">
        <f>(H22*G9*((H78^2)-(H77^2)))/2</f>
        <v>21.377766924784734</v>
      </c>
      <c r="I79" s="23"/>
      <c r="J79" s="23"/>
      <c r="K79" s="600"/>
    </row>
    <row r="80" spans="2:12" ht="12.75">
      <c r="B80" s="599"/>
      <c r="C80" s="3"/>
      <c r="D80" s="324"/>
      <c r="E80" s="44"/>
      <c r="F80" s="129"/>
      <c r="G80" s="324"/>
      <c r="H80" s="23"/>
      <c r="I80" s="23"/>
      <c r="J80" s="23"/>
      <c r="K80" s="600"/>
      <c r="L80" s="23"/>
    </row>
    <row r="81" spans="2:12" ht="12.75">
      <c r="B81" s="599"/>
      <c r="C81" s="3"/>
      <c r="D81" s="1545" t="s">
        <v>567</v>
      </c>
      <c r="E81" s="571" t="s">
        <v>617</v>
      </c>
      <c r="F81" s="615"/>
      <c r="G81" s="615"/>
      <c r="H81" s="612"/>
      <c r="I81" s="23"/>
      <c r="J81" s="23"/>
      <c r="K81" s="600"/>
      <c r="L81" s="23"/>
    </row>
    <row r="82" spans="2:12" ht="15.75">
      <c r="B82" s="599"/>
      <c r="C82" s="3"/>
      <c r="D82" s="1546"/>
      <c r="E82" s="571" t="s">
        <v>616</v>
      </c>
      <c r="F82" s="615"/>
      <c r="G82" s="588">
        <f>(0.9*(I68+H79))/I67</f>
        <v>1.0944413388424958</v>
      </c>
      <c r="H82" s="578" t="s">
        <v>665</v>
      </c>
      <c r="I82" s="23"/>
      <c r="J82" s="23"/>
      <c r="K82" s="600"/>
      <c r="L82" s="23"/>
    </row>
    <row r="83" spans="2:12" ht="12.75">
      <c r="B83" s="599"/>
      <c r="C83" s="3"/>
      <c r="D83" s="1547"/>
      <c r="E83" s="1501" t="str">
        <f>IF(G82&gt;=1.4,"Safe against Sliding","Unsafe against Sliding. Shear Key Required")</f>
        <v>Unsafe against Sliding. Shear Key Required</v>
      </c>
      <c r="F83" s="1502"/>
      <c r="G83" s="1502"/>
      <c r="H83" s="1503"/>
      <c r="I83" s="23"/>
      <c r="J83" s="23"/>
      <c r="K83" s="600"/>
      <c r="L83" s="23"/>
    </row>
    <row r="84" spans="2:12" ht="13.5" thickBot="1">
      <c r="B84" s="599"/>
      <c r="C84" s="587"/>
      <c r="D84" s="586"/>
      <c r="E84" s="590"/>
      <c r="F84" s="586"/>
      <c r="G84" s="586"/>
      <c r="H84" s="590"/>
      <c r="I84" s="590"/>
      <c r="J84" s="590"/>
      <c r="K84" s="600"/>
      <c r="L84" s="23"/>
    </row>
    <row r="85" spans="2:12" ht="12.75">
      <c r="B85" s="599"/>
      <c r="C85" s="3"/>
      <c r="D85" s="324"/>
      <c r="E85" s="23"/>
      <c r="F85" s="324"/>
      <c r="G85" s="324"/>
      <c r="H85" s="23"/>
      <c r="I85" s="23"/>
      <c r="J85" s="23"/>
      <c r="K85" s="600"/>
      <c r="L85" s="23"/>
    </row>
    <row r="86" spans="2:12" ht="12.75">
      <c r="B86" s="1028"/>
      <c r="C86" s="1029">
        <v>6</v>
      </c>
      <c r="D86" s="1030" t="s">
        <v>622</v>
      </c>
      <c r="E86" s="1030"/>
      <c r="F86" s="1024"/>
      <c r="G86" s="1024"/>
      <c r="H86" s="23"/>
      <c r="I86" s="23"/>
      <c r="J86" s="23"/>
      <c r="K86" s="600"/>
      <c r="L86" s="23"/>
    </row>
    <row r="87" spans="2:11" ht="15.75">
      <c r="B87" s="599"/>
      <c r="C87" s="3"/>
      <c r="D87" s="996" t="s">
        <v>558</v>
      </c>
      <c r="E87" s="971" t="s">
        <v>892</v>
      </c>
      <c r="F87" s="1020" t="s">
        <v>938</v>
      </c>
      <c r="G87" s="302">
        <f>J60-(H50+H51)</f>
        <v>28.238569530178303</v>
      </c>
      <c r="H87" s="23"/>
      <c r="I87" s="23"/>
      <c r="J87" s="23"/>
      <c r="K87" s="600"/>
    </row>
    <row r="88" spans="2:11" s="524" customFormat="1" ht="12.75" customHeight="1">
      <c r="B88" s="606"/>
      <c r="C88" s="472"/>
      <c r="D88" s="1006" t="s">
        <v>560</v>
      </c>
      <c r="E88" s="971" t="s">
        <v>894</v>
      </c>
      <c r="F88" s="1021" t="s">
        <v>895</v>
      </c>
      <c r="G88" s="1010">
        <f>G87/G60</f>
        <v>0.6499303155620746</v>
      </c>
      <c r="H88" s="324"/>
      <c r="I88" s="324"/>
      <c r="J88" s="324"/>
      <c r="K88" s="607"/>
    </row>
    <row r="89" spans="2:11" ht="12.75">
      <c r="B89" s="599"/>
      <c r="C89" s="3"/>
      <c r="D89" s="1006" t="s">
        <v>562</v>
      </c>
      <c r="E89" s="971" t="s">
        <v>626</v>
      </c>
      <c r="F89" s="580" t="s">
        <v>915</v>
      </c>
      <c r="G89" s="273">
        <f>(I30/2)-G88</f>
        <v>0.5750696844379255</v>
      </c>
      <c r="H89" s="535" t="s">
        <v>896</v>
      </c>
      <c r="I89" s="1005">
        <f>I30/6</f>
        <v>0.4083333333333334</v>
      </c>
      <c r="J89" s="23"/>
      <c r="K89" s="600"/>
    </row>
    <row r="90" spans="2:11" ht="12.75">
      <c r="B90" s="599"/>
      <c r="C90" s="3"/>
      <c r="D90" s="1501" t="str">
        <f>IF(G89&lt;I30/6,"e&lt;L6 Eccentricity lies within middle third of the base hence OK","e&gt;L6 Eccentricity lies outside the middle third of the base. Revise the base dimensions")</f>
        <v>e&gt;L6 Eccentricity lies outside the middle third of the base. Revise the base dimensions</v>
      </c>
      <c r="E90" s="1502"/>
      <c r="F90" s="1502"/>
      <c r="G90" s="1503"/>
      <c r="H90" s="23"/>
      <c r="I90" s="23"/>
      <c r="J90" s="23"/>
      <c r="K90" s="600"/>
    </row>
    <row r="91" spans="2:11" ht="12.75">
      <c r="B91" s="599"/>
      <c r="C91" s="3"/>
      <c r="D91" s="324"/>
      <c r="E91" s="23"/>
      <c r="F91" s="324"/>
      <c r="G91" s="23"/>
      <c r="H91" s="23"/>
      <c r="I91" s="23"/>
      <c r="J91" s="23"/>
      <c r="K91" s="600"/>
    </row>
    <row r="92" spans="2:11" ht="15.75" customHeight="1">
      <c r="B92" s="599"/>
      <c r="C92" s="3"/>
      <c r="D92" s="1033" t="s">
        <v>566</v>
      </c>
      <c r="E92" s="1050" t="s">
        <v>666</v>
      </c>
      <c r="F92" s="580" t="s">
        <v>897</v>
      </c>
      <c r="G92" s="638">
        <f>(G60/I30)*(1+(6*G89/I30))</f>
        <v>42.709699576479636</v>
      </c>
      <c r="H92" s="23"/>
      <c r="I92" s="23"/>
      <c r="J92" s="23"/>
      <c r="K92" s="600"/>
    </row>
    <row r="93" spans="2:11" ht="15.75">
      <c r="B93" s="599"/>
      <c r="C93" s="3"/>
      <c r="D93" s="1034"/>
      <c r="E93" s="1051"/>
      <c r="F93" s="580" t="s">
        <v>898</v>
      </c>
      <c r="G93" s="638">
        <f>(G60/I30)*(1-(6*G89/I30))</f>
        <v>-7.2414456082256775</v>
      </c>
      <c r="H93" s="23"/>
      <c r="I93" s="23"/>
      <c r="J93" s="23"/>
      <c r="K93" s="600"/>
    </row>
    <row r="94" spans="2:11" ht="12.75">
      <c r="B94" s="599"/>
      <c r="C94" s="3"/>
      <c r="D94" s="1501" t="str">
        <f>IF(G92&lt;G10,"Max Pressure qmax&lt;SBC hence pressure on base is OK","qmax &gt; SBC hence revice the base dimensions")</f>
        <v>Max Pressure qmax&lt;SBC hence pressure on base is OK</v>
      </c>
      <c r="E94" s="1502"/>
      <c r="F94" s="1502"/>
      <c r="G94" s="1503"/>
      <c r="H94" s="23"/>
      <c r="I94" s="23"/>
      <c r="J94" s="23"/>
      <c r="K94" s="600"/>
    </row>
    <row r="95" spans="2:11" ht="12.75">
      <c r="B95" s="599"/>
      <c r="C95" s="3"/>
      <c r="D95" s="611"/>
      <c r="E95" s="318"/>
      <c r="F95" s="318"/>
      <c r="G95" s="318"/>
      <c r="H95" s="23"/>
      <c r="I95" s="23"/>
      <c r="J95" s="23"/>
      <c r="K95" s="600"/>
    </row>
    <row r="96" spans="2:11" ht="15.75" customHeight="1">
      <c r="B96" s="599"/>
      <c r="C96" s="3"/>
      <c r="D96" s="996" t="s">
        <v>567</v>
      </c>
      <c r="E96" s="1052" t="s">
        <v>681</v>
      </c>
      <c r="F96" s="642" t="s">
        <v>680</v>
      </c>
      <c r="G96" s="638">
        <f>G92-(((G92-G93)/I30)*I28)</f>
        <v>38.632055071605734</v>
      </c>
      <c r="H96" s="23"/>
      <c r="I96" s="23"/>
      <c r="J96" s="23"/>
      <c r="K96" s="600"/>
    </row>
    <row r="97" spans="2:11" ht="15.75" customHeight="1">
      <c r="B97" s="599"/>
      <c r="C97" s="3"/>
      <c r="D97" s="398"/>
      <c r="E97" s="1044"/>
      <c r="F97" s="1045"/>
      <c r="G97" s="1046"/>
      <c r="H97" s="23"/>
      <c r="I97" s="23"/>
      <c r="J97" s="23"/>
      <c r="K97" s="600"/>
    </row>
    <row r="98" spans="2:12" ht="13.5" thickBot="1">
      <c r="B98" s="599"/>
      <c r="C98" s="587"/>
      <c r="D98" s="586"/>
      <c r="E98" s="590"/>
      <c r="F98" s="586"/>
      <c r="G98" s="586"/>
      <c r="H98" s="590"/>
      <c r="I98" s="590"/>
      <c r="J98" s="590"/>
      <c r="K98" s="600"/>
      <c r="L98" s="23"/>
    </row>
    <row r="99" spans="2:11" ht="12.75">
      <c r="B99" s="599"/>
      <c r="C99" s="3"/>
      <c r="D99" s="324"/>
      <c r="E99" s="23"/>
      <c r="F99" s="324"/>
      <c r="G99" s="324"/>
      <c r="H99" s="23"/>
      <c r="I99" s="23"/>
      <c r="J99" s="23"/>
      <c r="K99" s="600"/>
    </row>
    <row r="100" spans="2:11" s="5" customFormat="1" ht="12.75">
      <c r="B100" s="1025"/>
      <c r="C100" s="1026">
        <v>7</v>
      </c>
      <c r="D100" s="1027" t="s">
        <v>932</v>
      </c>
      <c r="E100" s="1027"/>
      <c r="F100" s="334"/>
      <c r="G100" s="324"/>
      <c r="H100" s="4"/>
      <c r="I100" s="4"/>
      <c r="J100" s="4"/>
      <c r="K100" s="652"/>
    </row>
    <row r="101" spans="2:11" s="5" customFormat="1" ht="12.75">
      <c r="B101" s="654"/>
      <c r="C101" s="906"/>
      <c r="D101" s="624"/>
      <c r="E101" s="906"/>
      <c r="F101" s="906"/>
      <c r="G101" s="324"/>
      <c r="H101" s="4"/>
      <c r="I101" s="4"/>
      <c r="J101" s="4"/>
      <c r="K101" s="652"/>
    </row>
    <row r="102" spans="2:11" s="5" customFormat="1" ht="12.75">
      <c r="B102" s="654"/>
      <c r="C102" s="906"/>
      <c r="D102" s="990" t="s">
        <v>244</v>
      </c>
      <c r="E102" s="990"/>
      <c r="F102" s="906"/>
      <c r="G102" s="324"/>
      <c r="H102" s="4"/>
      <c r="I102" s="4"/>
      <c r="J102" s="4"/>
      <c r="K102" s="652"/>
    </row>
    <row r="103" spans="2:11" s="5" customFormat="1" ht="12.75">
      <c r="B103" s="654"/>
      <c r="C103" s="906"/>
      <c r="D103" s="996" t="s">
        <v>558</v>
      </c>
      <c r="E103" s="609" t="s">
        <v>678</v>
      </c>
      <c r="F103" s="71">
        <v>20</v>
      </c>
      <c r="G103" s="4"/>
      <c r="H103" s="4"/>
      <c r="I103" s="4"/>
      <c r="J103" s="4"/>
      <c r="K103" s="652"/>
    </row>
    <row r="104" spans="2:11" s="5" customFormat="1" ht="12.75">
      <c r="B104" s="654"/>
      <c r="C104" s="906"/>
      <c r="D104" s="996" t="s">
        <v>560</v>
      </c>
      <c r="E104" s="609" t="s">
        <v>679</v>
      </c>
      <c r="F104" s="71">
        <v>415</v>
      </c>
      <c r="G104" s="4"/>
      <c r="H104" s="4"/>
      <c r="I104" s="4"/>
      <c r="J104" s="4"/>
      <c r="K104" s="652"/>
    </row>
    <row r="105" spans="2:11" s="4" customFormat="1" ht="12.75">
      <c r="B105" s="654"/>
      <c r="C105" s="906"/>
      <c r="D105" s="398"/>
      <c r="E105" s="906"/>
      <c r="F105" s="906"/>
      <c r="K105" s="652"/>
    </row>
    <row r="106" spans="2:11" ht="12.75">
      <c r="B106" s="599"/>
      <c r="C106" s="3"/>
      <c r="D106" s="996" t="s">
        <v>562</v>
      </c>
      <c r="E106" s="609" t="s">
        <v>725</v>
      </c>
      <c r="F106" s="574" t="s">
        <v>8</v>
      </c>
      <c r="G106" s="575">
        <f>IF(F103=15,5,IF(F103=20,7,IF(F103=25,8.5,IF(F103=30,10))))</f>
        <v>7</v>
      </c>
      <c r="H106" s="1056" t="s">
        <v>931</v>
      </c>
      <c r="I106" s="23"/>
      <c r="J106" s="23"/>
      <c r="K106" s="600"/>
    </row>
    <row r="107" spans="2:11" ht="12.75">
      <c r="B107" s="599"/>
      <c r="C107" s="3"/>
      <c r="D107" s="996" t="s">
        <v>566</v>
      </c>
      <c r="E107" s="609" t="s">
        <v>671</v>
      </c>
      <c r="F107" s="574" t="s">
        <v>267</v>
      </c>
      <c r="G107" s="325">
        <f>IF(F104=250,140,IF(F104=415,230,IF(F104=500,275)))</f>
        <v>230</v>
      </c>
      <c r="H107" s="23"/>
      <c r="I107" s="23"/>
      <c r="J107" s="23"/>
      <c r="K107" s="600"/>
    </row>
    <row r="108" spans="2:11" ht="12.75">
      <c r="B108" s="599"/>
      <c r="C108" s="3"/>
      <c r="D108" s="996" t="s">
        <v>567</v>
      </c>
      <c r="E108" s="609" t="s">
        <v>669</v>
      </c>
      <c r="F108" s="574" t="s">
        <v>674</v>
      </c>
      <c r="G108" s="908">
        <f>280/(3*G106)</f>
        <v>13.333333333333334</v>
      </c>
      <c r="H108" s="23"/>
      <c r="I108" s="23"/>
      <c r="J108" s="23"/>
      <c r="K108" s="600"/>
    </row>
    <row r="109" spans="2:11" ht="12.75">
      <c r="B109" s="599"/>
      <c r="C109" s="3"/>
      <c r="D109" s="996" t="s">
        <v>568</v>
      </c>
      <c r="E109" s="609" t="s">
        <v>670</v>
      </c>
      <c r="F109" s="574" t="s">
        <v>675</v>
      </c>
      <c r="G109" s="572">
        <f>(G108*G106)/(((G108*G106)+G107))</f>
        <v>0.28865979381443296</v>
      </c>
      <c r="H109" s="23"/>
      <c r="I109" s="23"/>
      <c r="J109" s="23"/>
      <c r="K109" s="600"/>
    </row>
    <row r="110" spans="2:11" ht="12.75">
      <c r="B110" s="599"/>
      <c r="C110" s="3"/>
      <c r="D110" s="996" t="s">
        <v>569</v>
      </c>
      <c r="E110" s="609" t="s">
        <v>673</v>
      </c>
      <c r="F110" s="574" t="s">
        <v>676</v>
      </c>
      <c r="G110" s="572">
        <f>1-(G109/3)</f>
        <v>0.9037800687285223</v>
      </c>
      <c r="H110" s="23"/>
      <c r="I110" s="23"/>
      <c r="J110" s="23"/>
      <c r="K110" s="600"/>
    </row>
    <row r="111" spans="2:11" ht="12.75">
      <c r="B111" s="599"/>
      <c r="C111" s="3"/>
      <c r="D111" s="996" t="s">
        <v>643</v>
      </c>
      <c r="E111" s="609" t="s">
        <v>672</v>
      </c>
      <c r="F111" s="574" t="s">
        <v>677</v>
      </c>
      <c r="G111" s="572">
        <f>(G106*G110*G109)/2</f>
        <v>0.9130973890246925</v>
      </c>
      <c r="H111" s="23"/>
      <c r="I111" s="23"/>
      <c r="J111" s="23"/>
      <c r="K111" s="600"/>
    </row>
    <row r="112" spans="2:11" ht="13.5" thickBot="1">
      <c r="B112" s="599"/>
      <c r="C112" s="587"/>
      <c r="D112" s="589"/>
      <c r="E112" s="594"/>
      <c r="F112" s="594"/>
      <c r="G112" s="594"/>
      <c r="H112" s="590"/>
      <c r="I112" s="590"/>
      <c r="J112" s="590"/>
      <c r="K112" s="600"/>
    </row>
    <row r="113" spans="2:11" ht="12.75">
      <c r="B113" s="599"/>
      <c r="C113" s="3"/>
      <c r="D113" s="398"/>
      <c r="E113" s="49"/>
      <c r="F113" s="49"/>
      <c r="G113" s="49"/>
      <c r="H113" s="23"/>
      <c r="I113" s="23"/>
      <c r="J113" s="23"/>
      <c r="K113" s="600"/>
    </row>
    <row r="114" spans="2:11" ht="12.75">
      <c r="B114" s="1028"/>
      <c r="C114" s="1026">
        <v>8</v>
      </c>
      <c r="D114" s="1047" t="s">
        <v>682</v>
      </c>
      <c r="E114" s="1047"/>
      <c r="F114" s="579"/>
      <c r="G114" s="579"/>
      <c r="H114" s="23"/>
      <c r="I114" s="23"/>
      <c r="J114" s="23"/>
      <c r="K114" s="600"/>
    </row>
    <row r="115" spans="2:11" ht="12.75">
      <c r="B115" s="599"/>
      <c r="C115" s="906"/>
      <c r="D115" s="906"/>
      <c r="E115" s="906"/>
      <c r="F115" s="579"/>
      <c r="G115" s="579"/>
      <c r="H115" s="23"/>
      <c r="I115" s="23"/>
      <c r="J115" s="23"/>
      <c r="K115" s="600"/>
    </row>
    <row r="116" spans="2:11" ht="12.75">
      <c r="B116" s="599"/>
      <c r="C116" s="3"/>
      <c r="D116" s="1035" t="s">
        <v>904</v>
      </c>
      <c r="E116" s="1036" t="s">
        <v>685</v>
      </c>
      <c r="F116" s="324"/>
      <c r="G116" s="324"/>
      <c r="H116" s="23"/>
      <c r="I116" s="23"/>
      <c r="J116" s="23"/>
      <c r="K116" s="600"/>
    </row>
    <row r="117" spans="2:11" ht="15.75">
      <c r="B117" s="599"/>
      <c r="C117" s="3"/>
      <c r="D117" s="996" t="s">
        <v>558</v>
      </c>
      <c r="E117" s="609" t="s">
        <v>899</v>
      </c>
      <c r="F117" s="902" t="s">
        <v>900</v>
      </c>
      <c r="G117" s="1019">
        <f>H50+H51</f>
        <v>40.3772290809328</v>
      </c>
      <c r="H117" s="398"/>
      <c r="I117" s="1007"/>
      <c r="J117" s="1008"/>
      <c r="K117" s="600"/>
    </row>
    <row r="118" spans="2:11" s="23" customFormat="1" ht="12.75">
      <c r="B118" s="599"/>
      <c r="C118" s="3"/>
      <c r="D118" s="324"/>
      <c r="E118" s="49"/>
      <c r="F118" s="3"/>
      <c r="G118" s="614"/>
      <c r="H118" s="614"/>
      <c r="I118" s="614"/>
      <c r="J118" s="905"/>
      <c r="K118" s="600"/>
    </row>
    <row r="119" spans="2:11" ht="15.75" customHeight="1">
      <c r="B119" s="599"/>
      <c r="C119" s="3"/>
      <c r="D119" s="996" t="s">
        <v>560</v>
      </c>
      <c r="E119" s="609" t="s">
        <v>688</v>
      </c>
      <c r="F119" s="580" t="s">
        <v>691</v>
      </c>
      <c r="G119" s="1010">
        <f>(SQRT(G117*10^6)/(G111*1000))/1000</f>
        <v>0.006959069198487473</v>
      </c>
      <c r="H119" s="23"/>
      <c r="I119" s="23"/>
      <c r="J119" s="23"/>
      <c r="K119" s="600"/>
    </row>
    <row r="120" spans="2:11" ht="12.75">
      <c r="B120" s="599"/>
      <c r="C120" s="3"/>
      <c r="D120" s="996" t="s">
        <v>562</v>
      </c>
      <c r="E120" s="609" t="s">
        <v>689</v>
      </c>
      <c r="F120" s="574" t="s">
        <v>690</v>
      </c>
      <c r="G120" s="1010">
        <f>I28</f>
        <v>0.2</v>
      </c>
      <c r="H120" s="23"/>
      <c r="I120" s="23"/>
      <c r="J120" s="23"/>
      <c r="K120" s="600"/>
    </row>
    <row r="121" spans="2:11" ht="12.75">
      <c r="B121" s="599"/>
      <c r="C121" s="3"/>
      <c r="D121" s="1492" t="str">
        <f>IF(G119&lt;G120,"Thickness of Stem is OK","Revise the thickness of Stem")</f>
        <v>Thickness of Stem is OK</v>
      </c>
      <c r="E121" s="1493"/>
      <c r="F121" s="1493"/>
      <c r="G121" s="1494"/>
      <c r="H121" s="23"/>
      <c r="I121" s="23"/>
      <c r="J121" s="23"/>
      <c r="K121" s="600"/>
    </row>
    <row r="122" spans="2:11" ht="12.75">
      <c r="B122" s="599"/>
      <c r="C122" s="3"/>
      <c r="D122" s="324"/>
      <c r="E122" s="23"/>
      <c r="F122" s="324"/>
      <c r="G122" s="324"/>
      <c r="H122" s="23"/>
      <c r="I122" s="23"/>
      <c r="J122" s="23"/>
      <c r="K122" s="600"/>
    </row>
    <row r="123" spans="2:11" ht="15.75">
      <c r="B123" s="599"/>
      <c r="C123" s="3"/>
      <c r="D123" s="996" t="s">
        <v>566</v>
      </c>
      <c r="E123" s="609" t="s">
        <v>683</v>
      </c>
      <c r="F123" s="902" t="s">
        <v>692</v>
      </c>
      <c r="G123" s="902"/>
      <c r="H123" s="626">
        <f>(G117*10^3)/(G107*G110*(G120-0.06))</f>
        <v>1387.4517231362258</v>
      </c>
      <c r="I123" s="23"/>
      <c r="J123" s="23"/>
      <c r="K123" s="600"/>
    </row>
    <row r="124" spans="2:11" ht="12.75">
      <c r="B124" s="599"/>
      <c r="C124" s="3"/>
      <c r="D124" s="996" t="s">
        <v>567</v>
      </c>
      <c r="E124" s="609" t="s">
        <v>697</v>
      </c>
      <c r="F124" s="647">
        <v>16</v>
      </c>
      <c r="G124" s="616">
        <v>120</v>
      </c>
      <c r="H124" s="626">
        <f>((((PI()*F124^2)/4)*1000)/G124)</f>
        <v>1675.5160819145563</v>
      </c>
      <c r="I124" s="23"/>
      <c r="J124" s="23"/>
      <c r="K124" s="600"/>
    </row>
    <row r="125" spans="2:11" ht="15.75">
      <c r="B125" s="599"/>
      <c r="C125" s="3"/>
      <c r="D125" s="996" t="s">
        <v>568</v>
      </c>
      <c r="E125" s="609" t="s">
        <v>349</v>
      </c>
      <c r="F125" s="902" t="s">
        <v>695</v>
      </c>
      <c r="G125" s="902"/>
      <c r="H125" s="651">
        <f>(H123*100)/(1000*((I28*1000)-60))</f>
        <v>0.9910369450973041</v>
      </c>
      <c r="I125" s="617"/>
      <c r="J125" s="23"/>
      <c r="K125" s="600"/>
    </row>
    <row r="126" spans="2:11" ht="12.75">
      <c r="B126" s="599"/>
      <c r="C126" s="3"/>
      <c r="D126" s="1507" t="str">
        <f>IF(H124&gt;H123,"Steel OK","Revise Steel")</f>
        <v>Steel OK</v>
      </c>
      <c r="E126" s="1508"/>
      <c r="F126" s="1508"/>
      <c r="G126" s="1508"/>
      <c r="H126" s="1509"/>
      <c r="I126" s="617"/>
      <c r="J126" s="23"/>
      <c r="K126" s="600"/>
    </row>
    <row r="127" spans="2:11" ht="12.75">
      <c r="B127" s="599"/>
      <c r="C127" s="3"/>
      <c r="D127" s="324"/>
      <c r="E127" s="23"/>
      <c r="F127" s="324"/>
      <c r="G127" s="324"/>
      <c r="H127" s="23"/>
      <c r="I127" s="23"/>
      <c r="J127" s="23"/>
      <c r="K127" s="600"/>
    </row>
    <row r="128" spans="2:11" ht="12.75">
      <c r="B128" s="599"/>
      <c r="C128" s="3"/>
      <c r="D128" s="1035" t="s">
        <v>905</v>
      </c>
      <c r="E128" s="1036" t="s">
        <v>698</v>
      </c>
      <c r="F128" s="324"/>
      <c r="G128" s="324"/>
      <c r="H128" s="23"/>
      <c r="I128" s="23"/>
      <c r="J128" s="23"/>
      <c r="K128" s="600"/>
    </row>
    <row r="129" spans="2:11" ht="12.75" customHeight="1">
      <c r="B129" s="599"/>
      <c r="C129" s="3"/>
      <c r="D129" s="436"/>
      <c r="E129" s="1016" t="s">
        <v>591</v>
      </c>
      <c r="F129" s="1017"/>
      <c r="G129" s="1018"/>
      <c r="H129" s="1518" t="s">
        <v>592</v>
      </c>
      <c r="I129" s="1519"/>
      <c r="J129" s="610" t="s">
        <v>1</v>
      </c>
      <c r="K129" s="600"/>
    </row>
    <row r="130" spans="2:11" ht="15.75" customHeight="1">
      <c r="B130" s="599"/>
      <c r="C130" s="3"/>
      <c r="D130" s="996" t="s">
        <v>558</v>
      </c>
      <c r="E130" s="609" t="s">
        <v>927</v>
      </c>
      <c r="F130" s="580" t="s">
        <v>928</v>
      </c>
      <c r="G130" s="325">
        <f>(I30-I28)*(G8-I29)*G9</f>
        <v>2.0249999999999995</v>
      </c>
      <c r="H130" s="609" t="s">
        <v>593</v>
      </c>
      <c r="I130" s="273">
        <f>(I30-I28)/2</f>
        <v>1.125</v>
      </c>
      <c r="J130" s="635">
        <f>G130*I130</f>
        <v>2.2781249999999993</v>
      </c>
      <c r="K130" s="600"/>
    </row>
    <row r="131" spans="2:11" ht="15.75" customHeight="1">
      <c r="B131" s="599"/>
      <c r="C131" s="3"/>
      <c r="D131" s="996" t="s">
        <v>562</v>
      </c>
      <c r="E131" s="609" t="s">
        <v>721</v>
      </c>
      <c r="F131" s="902" t="s">
        <v>939</v>
      </c>
      <c r="G131" s="325">
        <f>I30*I29*25</f>
        <v>27.5625</v>
      </c>
      <c r="H131" s="609" t="s">
        <v>942</v>
      </c>
      <c r="I131" s="273">
        <f>I30/2</f>
        <v>1.225</v>
      </c>
      <c r="J131" s="635">
        <f>G131*I131</f>
        <v>33.7640625</v>
      </c>
      <c r="K131" s="600"/>
    </row>
    <row r="132" spans="2:11" ht="12.75">
      <c r="B132" s="599"/>
      <c r="C132" s="3"/>
      <c r="D132" s="987" t="s">
        <v>699</v>
      </c>
      <c r="E132" s="988"/>
      <c r="F132" s="989"/>
      <c r="G132" s="1054">
        <f>SUM(G130:G131)</f>
        <v>29.5875</v>
      </c>
      <c r="H132" s="614"/>
      <c r="I132" s="1009" t="s">
        <v>903</v>
      </c>
      <c r="J132" s="633">
        <f>J130+J131</f>
        <v>36.0421875</v>
      </c>
      <c r="K132" s="600"/>
    </row>
    <row r="133" spans="2:11" ht="15.75" customHeight="1">
      <c r="B133" s="599"/>
      <c r="C133" s="3"/>
      <c r="D133" s="996" t="s">
        <v>568</v>
      </c>
      <c r="E133" s="609" t="s">
        <v>901</v>
      </c>
      <c r="F133" s="574" t="s">
        <v>902</v>
      </c>
      <c r="G133" s="1055">
        <f>((G96+G93)/2)*(I30-I28)</f>
        <v>35.31443564630256</v>
      </c>
      <c r="H133" s="1543" t="s">
        <v>951</v>
      </c>
      <c r="I133" s="273">
        <f>((G96+(2*G93))/(G96+G93))*((I30-I28)/3)</f>
        <v>0.576983792318365</v>
      </c>
      <c r="J133" s="635">
        <f>G133*I133</f>
        <v>20.375857002786507</v>
      </c>
      <c r="K133" s="600"/>
    </row>
    <row r="134" spans="2:11" ht="15.75" customHeight="1">
      <c r="B134" s="599"/>
      <c r="C134" s="3"/>
      <c r="D134" s="1542" t="str">
        <f>IF(G132&gt;G133,"Downward Pressure is greater","Upward Pressure is greater")</f>
        <v>Upward Pressure is greater</v>
      </c>
      <c r="E134" s="1542"/>
      <c r="F134" s="1542"/>
      <c r="G134" s="1542"/>
      <c r="H134" s="1544"/>
      <c r="I134" s="436" t="s">
        <v>848</v>
      </c>
      <c r="J134" s="633">
        <f>J133</f>
        <v>20.375857002786507</v>
      </c>
      <c r="K134" s="600"/>
    </row>
    <row r="135" spans="2:11" ht="12.75">
      <c r="B135" s="599"/>
      <c r="C135" s="3"/>
      <c r="D135" s="384"/>
      <c r="E135" s="384"/>
      <c r="F135" s="384"/>
      <c r="G135" s="905"/>
      <c r="H135" s="1022"/>
      <c r="I135" s="398"/>
      <c r="J135" s="1023"/>
      <c r="K135" s="600"/>
    </row>
    <row r="136" spans="2:11" ht="12.75">
      <c r="B136" s="599"/>
      <c r="C136" s="3"/>
      <c r="D136" s="996" t="s">
        <v>567</v>
      </c>
      <c r="E136" s="609" t="s">
        <v>103</v>
      </c>
      <c r="F136" s="1015" t="s">
        <v>906</v>
      </c>
      <c r="G136" s="1054">
        <f>ABS(J134-J132)</f>
        <v>15.66633049721349</v>
      </c>
      <c r="H136" s="622"/>
      <c r="I136" s="619"/>
      <c r="J136" s="619"/>
      <c r="K136" s="600"/>
    </row>
    <row r="137" spans="2:11" ht="12.75">
      <c r="B137" s="599"/>
      <c r="C137" s="3"/>
      <c r="D137" s="324"/>
      <c r="E137" s="618"/>
      <c r="F137" s="618"/>
      <c r="G137" s="618"/>
      <c r="H137" s="618"/>
      <c r="I137" s="619"/>
      <c r="J137" s="618"/>
      <c r="K137" s="600"/>
    </row>
    <row r="138" spans="2:11" ht="15.75" customHeight="1">
      <c r="B138" s="599"/>
      <c r="C138" s="3"/>
      <c r="D138" s="996" t="s">
        <v>568</v>
      </c>
      <c r="E138" s="609" t="s">
        <v>688</v>
      </c>
      <c r="F138" s="574" t="s">
        <v>691</v>
      </c>
      <c r="G138" s="637">
        <f>(SQRT((G136*10^6)/(G111*1000)))/1000</f>
        <v>0.130986063821209</v>
      </c>
      <c r="H138" s="975" t="str">
        <f>IF(G138&lt;G139,"Thickness of Stem is OK","Revise the thickness of Stem")</f>
        <v>Thickness of Stem is OK</v>
      </c>
      <c r="I138" s="23"/>
      <c r="J138" s="23"/>
      <c r="K138" s="600"/>
    </row>
    <row r="139" spans="2:11" ht="12.75">
      <c r="B139" s="599"/>
      <c r="C139" s="3"/>
      <c r="D139" s="996" t="s">
        <v>569</v>
      </c>
      <c r="E139" s="609" t="s">
        <v>689</v>
      </c>
      <c r="F139" s="574" t="s">
        <v>690</v>
      </c>
      <c r="G139" s="637">
        <f>I29</f>
        <v>0.45</v>
      </c>
      <c r="H139" s="976"/>
      <c r="I139" s="23"/>
      <c r="J139" s="23"/>
      <c r="K139" s="600"/>
    </row>
    <row r="140" spans="2:11" ht="12.75">
      <c r="B140" s="599"/>
      <c r="C140" s="3"/>
      <c r="D140" s="324"/>
      <c r="E140" s="23"/>
      <c r="F140" s="324"/>
      <c r="G140" s="23"/>
      <c r="H140" s="23"/>
      <c r="I140" s="617"/>
      <c r="J140" s="23"/>
      <c r="K140" s="600"/>
    </row>
    <row r="141" spans="2:11" ht="15.75">
      <c r="B141" s="599"/>
      <c r="C141" s="3"/>
      <c r="D141" s="996" t="s">
        <v>643</v>
      </c>
      <c r="E141" s="609" t="s">
        <v>683</v>
      </c>
      <c r="F141" s="907" t="s">
        <v>692</v>
      </c>
      <c r="G141" s="974"/>
      <c r="H141" s="626">
        <f>(G136*10^3)/(G107*G110*(I29-0.06))</f>
        <v>193.24669789408404</v>
      </c>
      <c r="I141" s="23"/>
      <c r="J141" s="23"/>
      <c r="K141" s="600"/>
    </row>
    <row r="142" spans="2:11" ht="12.75">
      <c r="B142" s="599"/>
      <c r="C142" s="3"/>
      <c r="D142" s="996" t="s">
        <v>737</v>
      </c>
      <c r="E142" s="609" t="s">
        <v>697</v>
      </c>
      <c r="F142" s="647">
        <v>12</v>
      </c>
      <c r="G142" s="616">
        <v>150</v>
      </c>
      <c r="H142" s="626">
        <f>((((PI()*F142^2)/4)*1000)/G142)</f>
        <v>753.9822368615504</v>
      </c>
      <c r="I142" s="23"/>
      <c r="J142" s="23"/>
      <c r="K142" s="600"/>
    </row>
    <row r="143" spans="2:11" ht="15.75">
      <c r="B143" s="599"/>
      <c r="C143" s="3"/>
      <c r="D143" s="996" t="s">
        <v>738</v>
      </c>
      <c r="E143" s="609" t="s">
        <v>349</v>
      </c>
      <c r="F143" s="907" t="s">
        <v>695</v>
      </c>
      <c r="G143" s="974"/>
      <c r="H143" s="651">
        <f>(H141*100)/(1000*((G139*1000)-60))</f>
        <v>0.04955043535745744</v>
      </c>
      <c r="I143" s="23"/>
      <c r="J143" s="23"/>
      <c r="K143" s="600"/>
    </row>
    <row r="144" spans="2:11" ht="12.75">
      <c r="B144" s="599"/>
      <c r="C144" s="3"/>
      <c r="D144" s="1507" t="str">
        <f>IF(H142&gt;H141,"Steel OK","Revise Steel")</f>
        <v>Steel OK</v>
      </c>
      <c r="E144" s="1508"/>
      <c r="F144" s="1508"/>
      <c r="G144" s="1508"/>
      <c r="H144" s="1509"/>
      <c r="I144" s="23"/>
      <c r="J144" s="23"/>
      <c r="K144" s="600"/>
    </row>
    <row r="145" spans="2:11" ht="12.75">
      <c r="B145" s="599"/>
      <c r="C145" s="3"/>
      <c r="D145" s="617"/>
      <c r="E145" s="617"/>
      <c r="F145" s="617"/>
      <c r="G145" s="617"/>
      <c r="H145" s="617"/>
      <c r="I145" s="23"/>
      <c r="J145" s="23"/>
      <c r="K145" s="600"/>
    </row>
    <row r="146" spans="2:11" ht="12.75">
      <c r="B146" s="599"/>
      <c r="C146" s="3"/>
      <c r="D146" s="617"/>
      <c r="E146" s="617"/>
      <c r="F146" s="617"/>
      <c r="G146" s="617"/>
      <c r="H146" s="617"/>
      <c r="I146" s="23"/>
      <c r="J146" s="23"/>
      <c r="K146" s="600"/>
    </row>
    <row r="147" spans="2:11" ht="12.75">
      <c r="B147" s="599"/>
      <c r="C147" s="3"/>
      <c r="D147" s="1035" t="s">
        <v>918</v>
      </c>
      <c r="E147" s="1036" t="s">
        <v>917</v>
      </c>
      <c r="F147" s="617"/>
      <c r="G147" s="617"/>
      <c r="H147" s="617"/>
      <c r="I147" s="23"/>
      <c r="J147" s="23"/>
      <c r="K147" s="600"/>
    </row>
    <row r="148" spans="2:11" ht="12.75">
      <c r="B148" s="599"/>
      <c r="C148" s="3"/>
      <c r="D148" s="624"/>
      <c r="E148" s="334"/>
      <c r="F148" s="617"/>
      <c r="G148" s="617"/>
      <c r="H148" s="617"/>
      <c r="I148" s="23"/>
      <c r="J148" s="23"/>
      <c r="K148" s="600"/>
    </row>
    <row r="149" spans="2:11" ht="12.75">
      <c r="B149" s="599"/>
      <c r="C149" s="3"/>
      <c r="D149" s="624"/>
      <c r="E149" s="334"/>
      <c r="F149" s="617"/>
      <c r="G149" s="617"/>
      <c r="H149" s="617"/>
      <c r="I149" s="23"/>
      <c r="J149" s="23"/>
      <c r="K149" s="600"/>
    </row>
    <row r="150" spans="2:11" ht="12.75">
      <c r="B150" s="599"/>
      <c r="C150" s="3"/>
      <c r="D150" s="617"/>
      <c r="E150" s="617"/>
      <c r="F150" s="617"/>
      <c r="G150" s="617"/>
      <c r="H150" s="617"/>
      <c r="I150" s="23"/>
      <c r="J150" s="23"/>
      <c r="K150" s="600"/>
    </row>
    <row r="151" spans="2:11" ht="12.75">
      <c r="B151" s="599"/>
      <c r="C151" s="3"/>
      <c r="D151" s="617"/>
      <c r="E151" s="617"/>
      <c r="F151" s="617"/>
      <c r="G151" s="617"/>
      <c r="H151" s="617"/>
      <c r="I151" s="23"/>
      <c r="J151" s="23"/>
      <c r="K151" s="600"/>
    </row>
    <row r="152" spans="2:11" ht="12.75">
      <c r="B152" s="599"/>
      <c r="C152" s="3"/>
      <c r="D152" s="617"/>
      <c r="E152" s="617"/>
      <c r="F152" s="617"/>
      <c r="G152" s="617"/>
      <c r="H152" s="617"/>
      <c r="I152" s="23"/>
      <c r="J152" s="23"/>
      <c r="K152" s="600"/>
    </row>
    <row r="153" spans="2:11" ht="12.75">
      <c r="B153" s="599"/>
      <c r="C153" s="3"/>
      <c r="D153" s="617"/>
      <c r="E153" s="617"/>
      <c r="F153" s="617"/>
      <c r="G153" s="617"/>
      <c r="H153" s="617"/>
      <c r="I153" s="23"/>
      <c r="J153" s="23"/>
      <c r="K153" s="600"/>
    </row>
    <row r="154" spans="2:11" ht="12.75">
      <c r="B154" s="599"/>
      <c r="C154" s="3"/>
      <c r="D154" s="617"/>
      <c r="E154" s="617"/>
      <c r="F154" s="617"/>
      <c r="G154" s="617"/>
      <c r="H154" s="617"/>
      <c r="I154" s="23"/>
      <c r="J154" s="23"/>
      <c r="K154" s="600"/>
    </row>
    <row r="155" spans="2:11" ht="12.75">
      <c r="B155" s="599"/>
      <c r="C155" s="3"/>
      <c r="D155" s="617"/>
      <c r="E155" s="617"/>
      <c r="F155" s="617"/>
      <c r="G155" s="617"/>
      <c r="H155" s="617"/>
      <c r="I155" s="23"/>
      <c r="J155" s="23"/>
      <c r="K155" s="600"/>
    </row>
    <row r="156" spans="2:11" ht="12.75">
      <c r="B156" s="599"/>
      <c r="C156" s="3"/>
      <c r="D156" s="617"/>
      <c r="E156" s="1048"/>
      <c r="F156" s="617"/>
      <c r="G156" s="617"/>
      <c r="H156" s="617"/>
      <c r="I156" s="23"/>
      <c r="J156" s="23"/>
      <c r="K156" s="600"/>
    </row>
    <row r="157" spans="2:11" ht="12.75">
      <c r="B157" s="599"/>
      <c r="C157" s="3"/>
      <c r="D157" s="617"/>
      <c r="E157" s="617"/>
      <c r="F157" s="617"/>
      <c r="G157" s="617"/>
      <c r="H157" s="617"/>
      <c r="I157" s="23"/>
      <c r="J157" s="23"/>
      <c r="K157" s="600"/>
    </row>
    <row r="158" spans="2:11" ht="12.75">
      <c r="B158" s="599"/>
      <c r="C158" s="3"/>
      <c r="D158" s="617"/>
      <c r="E158" s="617"/>
      <c r="F158" s="617"/>
      <c r="G158" s="617"/>
      <c r="H158" s="617"/>
      <c r="I158" s="23"/>
      <c r="J158" s="23"/>
      <c r="K158" s="600"/>
    </row>
    <row r="159" spans="2:11" ht="12.75">
      <c r="B159" s="599"/>
      <c r="C159" s="3"/>
      <c r="D159" s="617"/>
      <c r="E159" s="617"/>
      <c r="F159" s="617"/>
      <c r="G159" s="617"/>
      <c r="H159" s="617"/>
      <c r="I159" s="23"/>
      <c r="J159" s="23"/>
      <c r="K159" s="600"/>
    </row>
    <row r="160" spans="2:11" ht="12.75">
      <c r="B160" s="599"/>
      <c r="C160" s="3"/>
      <c r="D160" s="617"/>
      <c r="E160" s="617"/>
      <c r="F160" s="617"/>
      <c r="G160" s="617"/>
      <c r="H160" s="617"/>
      <c r="I160" s="23"/>
      <c r="J160" s="23"/>
      <c r="K160" s="600"/>
    </row>
    <row r="161" spans="2:11" ht="15" customHeight="1">
      <c r="B161" s="599"/>
      <c r="C161" s="3"/>
      <c r="D161" s="617"/>
      <c r="E161" s="617"/>
      <c r="F161" s="617"/>
      <c r="G161" s="617"/>
      <c r="H161" s="617"/>
      <c r="I161" s="23"/>
      <c r="J161" s="23"/>
      <c r="K161" s="600"/>
    </row>
    <row r="162" spans="2:11" ht="20.25" customHeight="1">
      <c r="B162" s="599"/>
      <c r="C162" s="3"/>
      <c r="D162" s="617"/>
      <c r="E162" s="617"/>
      <c r="F162" s="1053"/>
      <c r="G162" s="617"/>
      <c r="H162" s="617"/>
      <c r="I162" s="23"/>
      <c r="J162" s="23"/>
      <c r="K162" s="600"/>
    </row>
    <row r="163" spans="2:11" ht="16.5" customHeight="1">
      <c r="B163" s="599"/>
      <c r="C163" s="3"/>
      <c r="D163" s="617"/>
      <c r="E163" s="617"/>
      <c r="F163" s="1049"/>
      <c r="G163" s="617"/>
      <c r="H163" s="617"/>
      <c r="I163" s="23"/>
      <c r="J163" s="23"/>
      <c r="K163" s="600"/>
    </row>
    <row r="164" spans="2:11" ht="16.5" customHeight="1">
      <c r="B164" s="599"/>
      <c r="C164" s="3"/>
      <c r="D164" s="617"/>
      <c r="E164" s="617"/>
      <c r="F164" s="1049"/>
      <c r="G164" s="617"/>
      <c r="H164" s="617"/>
      <c r="I164" s="23"/>
      <c r="J164" s="23"/>
      <c r="K164" s="600"/>
    </row>
    <row r="165" spans="2:11" ht="15" customHeight="1">
      <c r="B165" s="599"/>
      <c r="C165" s="3"/>
      <c r="D165" s="617"/>
      <c r="E165" s="617"/>
      <c r="F165" s="617"/>
      <c r="G165" s="617"/>
      <c r="H165" s="617"/>
      <c r="I165" s="23"/>
      <c r="J165" s="23"/>
      <c r="K165" s="600"/>
    </row>
    <row r="166" spans="2:11" ht="13.5" thickBot="1">
      <c r="B166" s="655"/>
      <c r="C166" s="587"/>
      <c r="D166" s="586"/>
      <c r="E166" s="590"/>
      <c r="F166" s="586"/>
      <c r="G166" s="586"/>
      <c r="H166" s="590"/>
      <c r="I166" s="590"/>
      <c r="J166" s="590"/>
      <c r="K166" s="653"/>
    </row>
  </sheetData>
  <sheetProtection/>
  <protectedRanges>
    <protectedRange sqref="F103" name="Inputs"/>
    <protectedRange sqref="F104" name="Inputs_1"/>
    <protectedRange sqref="G126 F142 F124 F144:F165" name="Inputs_1_1"/>
  </protectedRanges>
  <mergeCells count="34">
    <mergeCell ref="D11:D12"/>
    <mergeCell ref="F75:G75"/>
    <mergeCell ref="F74:G74"/>
    <mergeCell ref="E74:E75"/>
    <mergeCell ref="D13:D14"/>
    <mergeCell ref="D74:D75"/>
    <mergeCell ref="B3:K3"/>
    <mergeCell ref="D144:H144"/>
    <mergeCell ref="D134:G134"/>
    <mergeCell ref="H133:H134"/>
    <mergeCell ref="D121:G121"/>
    <mergeCell ref="H55:I55"/>
    <mergeCell ref="E83:H83"/>
    <mergeCell ref="D81:D83"/>
    <mergeCell ref="D60:F60"/>
    <mergeCell ref="F76:G76"/>
    <mergeCell ref="H59:I59"/>
    <mergeCell ref="H60:I60"/>
    <mergeCell ref="H129:I129"/>
    <mergeCell ref="F77:G77"/>
    <mergeCell ref="F78:G78"/>
    <mergeCell ref="F79:G79"/>
    <mergeCell ref="D94:G94"/>
    <mergeCell ref="D126:H126"/>
    <mergeCell ref="D90:G90"/>
    <mergeCell ref="I30:I34"/>
    <mergeCell ref="E47:F47"/>
    <mergeCell ref="E52:F52"/>
    <mergeCell ref="E51:F51"/>
    <mergeCell ref="F30:F31"/>
    <mergeCell ref="F32:F33"/>
    <mergeCell ref="E48:F48"/>
    <mergeCell ref="E49:F49"/>
    <mergeCell ref="E50:F50"/>
  </mergeCells>
  <conditionalFormatting sqref="H70">
    <cfRule type="cellIs" priority="9" dxfId="0" operator="equal">
      <formula>"Safe against Sliding"</formula>
    </cfRule>
  </conditionalFormatting>
  <conditionalFormatting sqref="E95 D90">
    <cfRule type="cellIs" priority="8" dxfId="0" operator="equal">
      <formula>"e&lt;L6 Eccentricity lies within middle third of the base hence OK"</formula>
    </cfRule>
  </conditionalFormatting>
  <conditionalFormatting sqref="H62:H63">
    <cfRule type="cellIs" priority="7" dxfId="4" operator="equal">
      <formula>"Safe against Overturning"</formula>
    </cfRule>
  </conditionalFormatting>
  <conditionalFormatting sqref="G106:G107 F74:F79 E73:E74 F80:J80 E76:E82 D74:D81">
    <cfRule type="expression" priority="6" dxfId="3">
      <formula>"$D$79&gt;1.4"</formula>
    </cfRule>
  </conditionalFormatting>
  <conditionalFormatting sqref="H138 D121">
    <cfRule type="cellIs" priority="5" dxfId="0" operator="equal">
      <formula>"Thickness of Stem is OK"</formula>
    </cfRule>
  </conditionalFormatting>
  <conditionalFormatting sqref="I140 D144:D146 D150:D165 I125:I126 D126">
    <cfRule type="cellIs" priority="4" dxfId="0" operator="equal">
      <formula>"Steel OK"</formula>
    </cfRule>
  </conditionalFormatting>
  <conditionalFormatting sqref="D94">
    <cfRule type="cellIs" priority="3" dxfId="5" operator="equal" stopIfTrue="1">
      <formula>"Max Pressure qmax&lt;SBC hence pressure on base is OK"</formula>
    </cfRule>
  </conditionalFormatting>
  <conditionalFormatting sqref="E83">
    <cfRule type="cellIs" priority="1" dxfId="4" operator="equal">
      <formula>"Safe against Sliding"</formula>
    </cfRule>
  </conditionalFormatting>
  <dataValidations count="3">
    <dataValidation type="list" showInputMessage="1" showErrorMessage="1" sqref="F142 F124">
      <formula1>"8,12,16,20"</formula1>
    </dataValidation>
    <dataValidation type="list" allowBlank="1" showInputMessage="1" showErrorMessage="1" sqref="F104">
      <formula1>"250,415,500"</formula1>
    </dataValidation>
    <dataValidation type="list" allowBlank="1" showInputMessage="1" showErrorMessage="1" sqref="F103">
      <formula1>"15,20,25,30"</formula1>
    </dataValidation>
  </dataValidations>
  <printOptions horizontalCentered="1"/>
  <pageMargins left="0.2" right="0.2" top="0.4" bottom="0.2" header="0" footer="0"/>
  <pageSetup orientation="portrait" paperSize="9" scale="70" r:id="rId2"/>
  <rowBreaks count="1" manualBreakCount="1">
    <brk id="98" max="255" man="1"/>
  </rowBreaks>
  <ignoredErrors>
    <ignoredError sqref="J132" formula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H77"/>
  <sheetViews>
    <sheetView zoomScalePageLayoutView="0" workbookViewId="0" topLeftCell="A1">
      <selection activeCell="J23" sqref="J23"/>
    </sheetView>
  </sheetViews>
  <sheetFormatPr defaultColWidth="9.140625" defaultRowHeight="12.75"/>
  <cols>
    <col min="2" max="2" width="5.8515625" style="0" customWidth="1"/>
    <col min="4" max="4" width="30.421875" style="0" customWidth="1"/>
    <col min="5" max="5" width="15.28125" style="0" bestFit="1" customWidth="1"/>
    <col min="6" max="6" width="14.421875" style="0" bestFit="1" customWidth="1"/>
    <col min="7" max="7" width="21.8515625" style="1126" bestFit="1" customWidth="1"/>
    <col min="8" max="8" width="6.57421875" style="0" customWidth="1"/>
  </cols>
  <sheetData>
    <row r="3" spans="1:7" s="1126" customFormat="1" ht="12.75">
      <c r="A3" s="1170"/>
      <c r="B3" s="1170"/>
      <c r="C3" s="1128"/>
      <c r="D3" s="1128"/>
      <c r="E3" s="1128"/>
      <c r="F3" s="1129"/>
      <c r="G3" s="1171"/>
    </row>
    <row r="4" spans="1:8" s="1126" customFormat="1" ht="12.75">
      <c r="A4" s="1170"/>
      <c r="B4" s="1179"/>
      <c r="C4" s="1180"/>
      <c r="D4" s="1181"/>
      <c r="E4" s="1181"/>
      <c r="F4" s="1182"/>
      <c r="G4" s="1183"/>
      <c r="H4" s="1184"/>
    </row>
    <row r="5" spans="1:8" s="1126" customFormat="1" ht="12.75">
      <c r="A5" s="1170"/>
      <c r="B5" s="1185"/>
      <c r="C5" s="1552" t="s">
        <v>992</v>
      </c>
      <c r="D5" s="1552"/>
      <c r="E5" s="1552"/>
      <c r="F5" s="1129"/>
      <c r="G5" s="1171"/>
      <c r="H5" s="1159"/>
    </row>
    <row r="6" spans="1:8" s="1126" customFormat="1" ht="12.75">
      <c r="A6" s="1170"/>
      <c r="B6" s="1185"/>
      <c r="C6" s="1197"/>
      <c r="D6" s="1197"/>
      <c r="E6" s="1197"/>
      <c r="F6" s="1129"/>
      <c r="G6" s="1171"/>
      <c r="H6" s="1159"/>
    </row>
    <row r="7" spans="1:8" s="1126" customFormat="1" ht="12.75">
      <c r="A7" s="1170"/>
      <c r="B7" s="1185"/>
      <c r="C7" s="1146" t="s">
        <v>558</v>
      </c>
      <c r="D7" s="1142" t="s">
        <v>678</v>
      </c>
      <c r="E7" s="1172">
        <v>20</v>
      </c>
      <c r="F7" s="1171"/>
      <c r="G7" s="1171"/>
      <c r="H7" s="1159"/>
    </row>
    <row r="8" spans="1:8" s="1126" customFormat="1" ht="12.75">
      <c r="A8" s="1170"/>
      <c r="B8" s="1185"/>
      <c r="C8" s="1146" t="s">
        <v>560</v>
      </c>
      <c r="D8" s="1142" t="s">
        <v>679</v>
      </c>
      <c r="E8" s="1172">
        <v>250</v>
      </c>
      <c r="F8" s="1171"/>
      <c r="G8" s="1171"/>
      <c r="H8" s="1159"/>
    </row>
    <row r="9" spans="1:8" s="1126" customFormat="1" ht="12.75">
      <c r="A9" s="1170"/>
      <c r="B9" s="1185"/>
      <c r="C9" s="1150"/>
      <c r="D9" s="1170"/>
      <c r="E9" s="1170"/>
      <c r="F9" s="1171"/>
      <c r="G9" s="1171"/>
      <c r="H9" s="1159"/>
    </row>
    <row r="10" spans="1:8" s="1126" customFormat="1" ht="12.75">
      <c r="A10" s="1173"/>
      <c r="B10" s="1186"/>
      <c r="C10" s="1146" t="s">
        <v>562</v>
      </c>
      <c r="D10" s="1142" t="s">
        <v>725</v>
      </c>
      <c r="E10" s="1174" t="s">
        <v>8</v>
      </c>
      <c r="F10" s="1175">
        <f>IF(E7=15,5,IF(E7=20,7,IF(E7=25,8.5,IF(E7=30,10))))</f>
        <v>7</v>
      </c>
      <c r="G10" s="1176" t="s">
        <v>931</v>
      </c>
      <c r="H10" s="1159"/>
    </row>
    <row r="11" spans="1:8" s="1126" customFormat="1" ht="12.75">
      <c r="A11" s="1173"/>
      <c r="B11" s="1186"/>
      <c r="C11" s="1146" t="s">
        <v>566</v>
      </c>
      <c r="D11" s="1142" t="s">
        <v>671</v>
      </c>
      <c r="E11" s="1174" t="s">
        <v>267</v>
      </c>
      <c r="F11" s="1177">
        <f>IF(E8=250,140,IF(E8=415,230,IF(E8=500,275)))</f>
        <v>140</v>
      </c>
      <c r="G11" s="493"/>
      <c r="H11" s="1159"/>
    </row>
    <row r="12" spans="1:8" s="1126" customFormat="1" ht="12.75">
      <c r="A12" s="1173"/>
      <c r="B12" s="1186"/>
      <c r="C12" s="1146" t="s">
        <v>567</v>
      </c>
      <c r="D12" s="1142" t="s">
        <v>669</v>
      </c>
      <c r="E12" s="1174" t="s">
        <v>674</v>
      </c>
      <c r="F12" s="1141">
        <f>280/(3*F10)</f>
        <v>13.333333333333334</v>
      </c>
      <c r="G12" s="493"/>
      <c r="H12" s="1159"/>
    </row>
    <row r="13" spans="1:8" s="1126" customFormat="1" ht="12.75">
      <c r="A13" s="1173"/>
      <c r="B13" s="1186"/>
      <c r="C13" s="1146" t="s">
        <v>568</v>
      </c>
      <c r="D13" s="1142" t="s">
        <v>670</v>
      </c>
      <c r="E13" s="1174" t="s">
        <v>675</v>
      </c>
      <c r="F13" s="1178">
        <f>(F12*F10)/(((F12*F10)+F11))</f>
        <v>0.4</v>
      </c>
      <c r="G13" s="493"/>
      <c r="H13" s="1159"/>
    </row>
    <row r="14" spans="1:8" s="1126" customFormat="1" ht="12.75">
      <c r="A14" s="1173"/>
      <c r="B14" s="1186"/>
      <c r="C14" s="1146" t="s">
        <v>569</v>
      </c>
      <c r="D14" s="1142" t="s">
        <v>673</v>
      </c>
      <c r="E14" s="1174" t="s">
        <v>676</v>
      </c>
      <c r="F14" s="1178">
        <f>1-(F13/3)</f>
        <v>0.8666666666666667</v>
      </c>
      <c r="G14" s="493"/>
      <c r="H14" s="1159"/>
    </row>
    <row r="15" spans="1:8" s="1126" customFormat="1" ht="12.75">
      <c r="A15" s="1173"/>
      <c r="B15" s="1186"/>
      <c r="C15" s="1146" t="s">
        <v>643</v>
      </c>
      <c r="D15" s="1142" t="s">
        <v>672</v>
      </c>
      <c r="E15" s="1174" t="s">
        <v>677</v>
      </c>
      <c r="F15" s="1178">
        <f>(F10*F14*F13)/2</f>
        <v>1.2133333333333334</v>
      </c>
      <c r="G15" s="493"/>
      <c r="H15" s="1159"/>
    </row>
    <row r="16" spans="1:8" s="1126" customFormat="1" ht="12.75">
      <c r="A16" s="1173"/>
      <c r="B16" s="1187"/>
      <c r="C16" s="1166"/>
      <c r="D16" s="1167"/>
      <c r="E16" s="1188"/>
      <c r="F16" s="1189"/>
      <c r="G16" s="1190"/>
      <c r="H16" s="1191"/>
    </row>
    <row r="17" s="1126" customFormat="1" ht="12.75"/>
    <row r="18" spans="2:8" ht="12.75">
      <c r="B18" s="1161"/>
      <c r="C18" s="1162"/>
      <c r="D18" s="1162"/>
      <c r="E18" s="1192"/>
      <c r="F18" s="1192"/>
      <c r="G18" s="1192"/>
      <c r="H18" s="1123"/>
    </row>
    <row r="19" spans="2:8" ht="12.75">
      <c r="B19" s="406"/>
      <c r="C19" s="1551" t="s">
        <v>682</v>
      </c>
      <c r="D19" s="1551"/>
      <c r="E19" s="1193"/>
      <c r="F19" s="493"/>
      <c r="G19" s="493"/>
      <c r="H19" s="1157"/>
    </row>
    <row r="20" spans="2:8" s="1126" customFormat="1" ht="12.75">
      <c r="B20" s="1158"/>
      <c r="C20" s="493"/>
      <c r="D20" s="493"/>
      <c r="E20" s="493"/>
      <c r="F20" s="493"/>
      <c r="G20" s="493"/>
      <c r="H20" s="1159"/>
    </row>
    <row r="21" spans="1:8" s="1126" customFormat="1" ht="12.75">
      <c r="A21" s="1130"/>
      <c r="B21" s="1158"/>
      <c r="C21" s="1146" t="s">
        <v>558</v>
      </c>
      <c r="D21" s="1194" t="s">
        <v>970</v>
      </c>
      <c r="E21" s="1131" t="s">
        <v>227</v>
      </c>
      <c r="F21" s="1132">
        <v>3</v>
      </c>
      <c r="G21" s="1200"/>
      <c r="H21" s="1159"/>
    </row>
    <row r="22" spans="1:8" s="1126" customFormat="1" ht="15.75">
      <c r="A22" s="1130"/>
      <c r="B22" s="1158"/>
      <c r="C22" s="1146" t="s">
        <v>560</v>
      </c>
      <c r="D22" s="1194" t="s">
        <v>977</v>
      </c>
      <c r="E22" s="1133" t="s">
        <v>619</v>
      </c>
      <c r="F22" s="1134">
        <v>18</v>
      </c>
      <c r="G22" s="1201"/>
      <c r="H22" s="1159"/>
    </row>
    <row r="23" spans="1:8" s="1126" customFormat="1" ht="15.75">
      <c r="A23" s="1130"/>
      <c r="B23" s="1158"/>
      <c r="C23" s="1146" t="s">
        <v>562</v>
      </c>
      <c r="D23" s="1194" t="s">
        <v>972</v>
      </c>
      <c r="E23" s="1133" t="s">
        <v>971</v>
      </c>
      <c r="F23" s="1135">
        <v>9.81</v>
      </c>
      <c r="G23" s="1202"/>
      <c r="H23" s="1159"/>
    </row>
    <row r="24" spans="1:8" s="1126" customFormat="1" ht="15.75">
      <c r="A24" s="1130"/>
      <c r="B24" s="1158"/>
      <c r="C24" s="1146" t="s">
        <v>566</v>
      </c>
      <c r="D24" s="1194" t="s">
        <v>976</v>
      </c>
      <c r="E24" s="1133" t="s">
        <v>978</v>
      </c>
      <c r="F24" s="1136">
        <f>F22-F23</f>
        <v>8.19</v>
      </c>
      <c r="G24" s="1203"/>
      <c r="H24" s="1159"/>
    </row>
    <row r="25" spans="1:8" s="1126" customFormat="1" ht="15.75">
      <c r="A25" s="1130"/>
      <c r="B25" s="1158"/>
      <c r="C25" s="1146" t="s">
        <v>567</v>
      </c>
      <c r="D25" s="1194" t="s">
        <v>290</v>
      </c>
      <c r="E25" s="1131" t="s">
        <v>618</v>
      </c>
      <c r="F25" s="1137">
        <v>250</v>
      </c>
      <c r="G25" s="1204"/>
      <c r="H25" s="1159"/>
    </row>
    <row r="26" spans="2:8" s="1126" customFormat="1" ht="12.75">
      <c r="B26" s="1158"/>
      <c r="C26" s="1452" t="s">
        <v>568</v>
      </c>
      <c r="D26" s="1198" t="s">
        <v>563</v>
      </c>
      <c r="E26" s="1559" t="s">
        <v>573</v>
      </c>
      <c r="F26" s="1138">
        <v>30</v>
      </c>
      <c r="G26" s="1205"/>
      <c r="H26" s="1159"/>
    </row>
    <row r="27" spans="2:8" s="1126" customFormat="1" ht="12.75">
      <c r="B27" s="1158"/>
      <c r="C27" s="1452"/>
      <c r="D27" s="1199"/>
      <c r="E27" s="1559"/>
      <c r="F27" s="1139">
        <f>(F26*PI())/180</f>
        <v>0.5235987755982988</v>
      </c>
      <c r="G27" s="1206"/>
      <c r="H27" s="1159"/>
    </row>
    <row r="28" spans="2:8" s="1140" customFormat="1" ht="12.75">
      <c r="B28" s="1163"/>
      <c r="C28" s="1560" t="s">
        <v>569</v>
      </c>
      <c r="D28" s="1198" t="s">
        <v>973</v>
      </c>
      <c r="E28" s="1562" t="s">
        <v>975</v>
      </c>
      <c r="F28" s="1563">
        <f>(1-SIN(F27))/(1+SIN(F27))</f>
        <v>0.3333333333333333</v>
      </c>
      <c r="G28" s="1151"/>
      <c r="H28" s="1164"/>
    </row>
    <row r="29" spans="2:8" s="1140" customFormat="1" ht="12.75">
      <c r="B29" s="1163"/>
      <c r="C29" s="1561"/>
      <c r="D29" s="1199" t="s">
        <v>974</v>
      </c>
      <c r="E29" s="1562"/>
      <c r="F29" s="1563"/>
      <c r="G29" s="1151"/>
      <c r="H29" s="1164"/>
    </row>
    <row r="30" spans="2:8" s="1140" customFormat="1" ht="12.75">
      <c r="B30" s="1165"/>
      <c r="C30" s="1166"/>
      <c r="D30" s="1167"/>
      <c r="E30" s="1166"/>
      <c r="F30" s="1168"/>
      <c r="G30" s="1168"/>
      <c r="H30" s="1169"/>
    </row>
    <row r="31" spans="3:7" s="1140" customFormat="1" ht="12.75">
      <c r="C31" s="1150"/>
      <c r="D31" s="1149"/>
      <c r="E31" s="1149"/>
      <c r="F31" s="1150"/>
      <c r="G31" s="1151"/>
    </row>
    <row r="32" spans="2:8" s="1140" customFormat="1" ht="12.75">
      <c r="B32" s="1152"/>
      <c r="C32" s="1153"/>
      <c r="D32" s="1154"/>
      <c r="E32" s="1154"/>
      <c r="F32" s="1153"/>
      <c r="G32" s="1155"/>
      <c r="H32" s="1156"/>
    </row>
    <row r="33" spans="2:8" ht="12.75">
      <c r="B33" s="406"/>
      <c r="C33" s="1035" t="s">
        <v>904</v>
      </c>
      <c r="D33" s="1036" t="s">
        <v>967</v>
      </c>
      <c r="E33" s="373"/>
      <c r="F33" s="373"/>
      <c r="G33" s="493"/>
      <c r="H33" s="1157"/>
    </row>
    <row r="34" spans="2:8" s="1126" customFormat="1" ht="12.75">
      <c r="B34" s="1158"/>
      <c r="C34" s="1127"/>
      <c r="D34" s="1128"/>
      <c r="E34" s="493"/>
      <c r="F34" s="493"/>
      <c r="G34" s="493"/>
      <c r="H34" s="1159"/>
    </row>
    <row r="35" spans="2:8" s="1126" customFormat="1" ht="12.75">
      <c r="B35" s="1158"/>
      <c r="C35" s="1207" t="s">
        <v>648</v>
      </c>
      <c r="D35" s="1558" t="s">
        <v>968</v>
      </c>
      <c r="E35" s="1558"/>
      <c r="F35" s="1558"/>
      <c r="G35" s="493"/>
      <c r="H35" s="1159"/>
    </row>
    <row r="36" spans="2:8" s="1126" customFormat="1" ht="12.75">
      <c r="B36" s="1158"/>
      <c r="C36" s="1146" t="s">
        <v>558</v>
      </c>
      <c r="D36" s="1554" t="s">
        <v>969</v>
      </c>
      <c r="E36" s="1555"/>
      <c r="F36" s="1143">
        <f>(F28*F24*F21)+(F23*F21)</f>
        <v>37.62</v>
      </c>
      <c r="G36" s="1208" t="s">
        <v>981</v>
      </c>
      <c r="H36" s="1159"/>
    </row>
    <row r="37" spans="2:8" ht="12.75">
      <c r="B37" s="406"/>
      <c r="C37" s="1146" t="s">
        <v>560</v>
      </c>
      <c r="D37" s="609" t="s">
        <v>980</v>
      </c>
      <c r="E37" s="902" t="s">
        <v>979</v>
      </c>
      <c r="F37" s="1019">
        <f>F36*(F21/3)</f>
        <v>37.62</v>
      </c>
      <c r="G37" s="1150"/>
      <c r="H37" s="1157"/>
    </row>
    <row r="38" spans="2:8" ht="12.75">
      <c r="B38" s="406"/>
      <c r="C38" s="324"/>
      <c r="D38" s="49"/>
      <c r="E38" s="3"/>
      <c r="F38" s="614"/>
      <c r="G38" s="1149"/>
      <c r="H38" s="1157"/>
    </row>
    <row r="39" spans="2:8" ht="15.75">
      <c r="B39" s="406"/>
      <c r="C39" s="1146" t="s">
        <v>562</v>
      </c>
      <c r="D39" s="609" t="s">
        <v>688</v>
      </c>
      <c r="E39" s="580" t="s">
        <v>691</v>
      </c>
      <c r="F39" s="1144">
        <f>SQRT((F37*10^6)/(F15*1000))/1000</f>
        <v>0.1760837712723535</v>
      </c>
      <c r="G39" s="493"/>
      <c r="H39" s="1157"/>
    </row>
    <row r="40" spans="2:8" ht="12.75">
      <c r="B40" s="406"/>
      <c r="C40" s="1146" t="s">
        <v>566</v>
      </c>
      <c r="D40" s="609" t="s">
        <v>689</v>
      </c>
      <c r="E40" s="574" t="s">
        <v>690</v>
      </c>
      <c r="F40" s="1145">
        <v>0.23</v>
      </c>
      <c r="G40" s="493"/>
      <c r="H40" s="1157"/>
    </row>
    <row r="41" spans="2:8" ht="12.75">
      <c r="B41" s="406"/>
      <c r="C41" s="1492" t="str">
        <f>IF(F39&lt;F40,"Thickness of Stem is OK","Revise the thickness of Stem")</f>
        <v>Thickness of Stem is OK</v>
      </c>
      <c r="D41" s="1493"/>
      <c r="E41" s="1493"/>
      <c r="F41" s="1494"/>
      <c r="G41" s="493"/>
      <c r="H41" s="1157"/>
    </row>
    <row r="42" spans="2:8" ht="12.75">
      <c r="B42" s="406"/>
      <c r="C42" s="324"/>
      <c r="D42" s="23"/>
      <c r="E42" s="324"/>
      <c r="F42" s="324"/>
      <c r="G42" s="493"/>
      <c r="H42" s="1157"/>
    </row>
    <row r="43" spans="2:8" ht="15.75">
      <c r="B43" s="406"/>
      <c r="C43" s="1146" t="s">
        <v>567</v>
      </c>
      <c r="D43" s="609" t="s">
        <v>683</v>
      </c>
      <c r="E43" s="1515" t="s">
        <v>692</v>
      </c>
      <c r="F43" s="1516"/>
      <c r="G43" s="1195">
        <f>(F37*10^3)/(F11*F14*(F40-0.0035))</f>
        <v>1368.896004657594</v>
      </c>
      <c r="H43" s="1157"/>
    </row>
    <row r="44" spans="2:8" ht="12.75">
      <c r="B44" s="406"/>
      <c r="C44" s="996" t="s">
        <v>568</v>
      </c>
      <c r="D44" s="609" t="s">
        <v>697</v>
      </c>
      <c r="E44" s="647">
        <v>16</v>
      </c>
      <c r="F44" s="616">
        <v>100</v>
      </c>
      <c r="G44" s="1195">
        <f>((((PI()*E44^2)/4)*1000)/F44)</f>
        <v>2010.6192982974674</v>
      </c>
      <c r="H44" s="1157"/>
    </row>
    <row r="45" spans="2:8" ht="15.75">
      <c r="B45" s="406"/>
      <c r="C45" s="996" t="s">
        <v>569</v>
      </c>
      <c r="D45" s="609" t="s">
        <v>349</v>
      </c>
      <c r="E45" s="1515" t="s">
        <v>695</v>
      </c>
      <c r="F45" s="1516"/>
      <c r="G45" s="1196">
        <f>(G43*100)/(1000*((F40*1000)-35))</f>
        <v>0.7019979511064585</v>
      </c>
      <c r="H45" s="1157"/>
    </row>
    <row r="46" spans="2:8" ht="12.75">
      <c r="B46" s="406"/>
      <c r="C46" s="1507" t="str">
        <f>IF(G44&gt;G43,"Steel OK","Revise Steel")</f>
        <v>Steel OK</v>
      </c>
      <c r="D46" s="1508"/>
      <c r="E46" s="1508"/>
      <c r="F46" s="1508"/>
      <c r="G46" s="1509"/>
      <c r="H46" s="1157"/>
    </row>
    <row r="47" spans="2:8" ht="12.75">
      <c r="B47" s="406"/>
      <c r="C47" s="373"/>
      <c r="D47" s="373"/>
      <c r="E47" s="373"/>
      <c r="F47" s="373"/>
      <c r="G47" s="493"/>
      <c r="H47" s="1157"/>
    </row>
    <row r="48" spans="2:8" ht="14.25">
      <c r="B48" s="406"/>
      <c r="C48" s="1455" t="s">
        <v>643</v>
      </c>
      <c r="D48" s="574" t="s">
        <v>982</v>
      </c>
      <c r="E48" s="436" t="s">
        <v>984</v>
      </c>
      <c r="F48" s="1147">
        <f>F21-(F21*((1/2)^(1/3)))</f>
        <v>0.6188984220477005</v>
      </c>
      <c r="G48" s="1150"/>
      <c r="H48" s="1157"/>
    </row>
    <row r="49" spans="2:8" ht="12.75">
      <c r="B49" s="406"/>
      <c r="C49" s="1553"/>
      <c r="D49" s="1476" t="s">
        <v>985</v>
      </c>
      <c r="E49" s="436" t="s">
        <v>983</v>
      </c>
      <c r="F49" s="1147">
        <f>(12*E44)/1000</f>
        <v>0.192</v>
      </c>
      <c r="G49" s="493"/>
      <c r="H49" s="1157"/>
    </row>
    <row r="50" spans="2:8" ht="12.75">
      <c r="B50" s="406"/>
      <c r="C50" s="1456"/>
      <c r="D50" s="1477"/>
      <c r="E50" s="436" t="s">
        <v>986</v>
      </c>
      <c r="F50" s="1147">
        <f>F40</f>
        <v>0.23</v>
      </c>
      <c r="G50" s="492"/>
      <c r="H50" s="1157"/>
    </row>
    <row r="51" spans="2:8" ht="12.75">
      <c r="B51" s="406"/>
      <c r="C51" s="1548" t="s">
        <v>987</v>
      </c>
      <c r="D51" s="1549"/>
      <c r="E51" s="1550"/>
      <c r="F51" s="1147">
        <f>IF(F49&gt;F50,F48+F49,F48+F50)</f>
        <v>0.8488984220477005</v>
      </c>
      <c r="G51" s="1556" t="s">
        <v>988</v>
      </c>
      <c r="H51" s="1557"/>
    </row>
    <row r="52" spans="2:8" ht="12.75">
      <c r="B52" s="406"/>
      <c r="C52" s="373"/>
      <c r="D52" s="373"/>
      <c r="E52" s="373"/>
      <c r="F52" s="373"/>
      <c r="G52" s="493"/>
      <c r="H52" s="1157"/>
    </row>
    <row r="53" spans="2:8" ht="15.75">
      <c r="B53" s="406"/>
      <c r="C53" s="996" t="s">
        <v>737</v>
      </c>
      <c r="D53" s="609" t="s">
        <v>683</v>
      </c>
      <c r="E53" s="1515" t="s">
        <v>989</v>
      </c>
      <c r="F53" s="1516"/>
      <c r="G53" s="1195">
        <f>(0.12*1000*(F40*1000)/100)</f>
        <v>276</v>
      </c>
      <c r="H53" s="1157"/>
    </row>
    <row r="54" spans="2:8" ht="12.75">
      <c r="B54" s="406"/>
      <c r="C54" s="1507" t="str">
        <f>IF(G44/2&gt;G53,"Ast provided is more than mimimun Ast required hence OK","Provided Ast is less than mimimum Ast required hence REVISE the Ast")</f>
        <v>Ast provided is more than mimimun Ast required hence OK</v>
      </c>
      <c r="D54" s="1508"/>
      <c r="E54" s="1508"/>
      <c r="F54" s="1508"/>
      <c r="G54" s="1509"/>
      <c r="H54" s="1157"/>
    </row>
    <row r="55" spans="2:8" ht="12.75">
      <c r="B55" s="406"/>
      <c r="C55" s="373"/>
      <c r="D55" s="373"/>
      <c r="E55" s="373"/>
      <c r="F55" s="373"/>
      <c r="G55" s="493"/>
      <c r="H55" s="1157"/>
    </row>
    <row r="56" spans="2:8" ht="12.75">
      <c r="B56" s="406"/>
      <c r="C56" s="373"/>
      <c r="D56" s="373"/>
      <c r="E56" s="373"/>
      <c r="F56" s="373"/>
      <c r="G56" s="493"/>
      <c r="H56" s="1157"/>
    </row>
    <row r="57" spans="2:8" ht="12.75">
      <c r="B57" s="406"/>
      <c r="C57" s="1207" t="s">
        <v>649</v>
      </c>
      <c r="D57" s="1558" t="s">
        <v>990</v>
      </c>
      <c r="E57" s="1558"/>
      <c r="F57" s="1558"/>
      <c r="G57" s="493"/>
      <c r="H57" s="1157"/>
    </row>
    <row r="58" spans="2:8" ht="12.75">
      <c r="B58" s="406"/>
      <c r="C58" s="1146" t="s">
        <v>558</v>
      </c>
      <c r="D58" s="1554" t="s">
        <v>991</v>
      </c>
      <c r="E58" s="1555"/>
      <c r="F58" s="1143">
        <f>(F23*F21)</f>
        <v>29.43</v>
      </c>
      <c r="G58" s="1208" t="s">
        <v>981</v>
      </c>
      <c r="H58" s="1159"/>
    </row>
    <row r="59" spans="2:8" ht="12.75">
      <c r="B59" s="406"/>
      <c r="C59" s="1146" t="s">
        <v>560</v>
      </c>
      <c r="D59" s="609" t="s">
        <v>980</v>
      </c>
      <c r="E59" s="902" t="s">
        <v>979</v>
      </c>
      <c r="F59" s="1019">
        <f>F58*(F21/3)</f>
        <v>29.43</v>
      </c>
      <c r="G59" s="1150"/>
      <c r="H59" s="1157"/>
    </row>
    <row r="60" spans="2:8" ht="12.75">
      <c r="B60" s="406"/>
      <c r="C60" s="324"/>
      <c r="D60" s="49"/>
      <c r="E60" s="3"/>
      <c r="F60" s="614"/>
      <c r="G60" s="1149"/>
      <c r="H60" s="1157"/>
    </row>
    <row r="61" spans="2:8" ht="15.75">
      <c r="B61" s="406"/>
      <c r="C61" s="1146" t="s">
        <v>562</v>
      </c>
      <c r="D61" s="609" t="s">
        <v>688</v>
      </c>
      <c r="E61" s="580" t="s">
        <v>691</v>
      </c>
      <c r="F61" s="1144">
        <f>SQRT((F59*10^6)/(F15*1000))/1000</f>
        <v>0.15574175581870942</v>
      </c>
      <c r="G61" s="493"/>
      <c r="H61" s="1157"/>
    </row>
    <row r="62" spans="2:8" ht="12.75">
      <c r="B62" s="406"/>
      <c r="C62" s="1146" t="s">
        <v>566</v>
      </c>
      <c r="D62" s="609" t="s">
        <v>689</v>
      </c>
      <c r="E62" s="574" t="s">
        <v>690</v>
      </c>
      <c r="F62" s="1145">
        <v>0.23</v>
      </c>
      <c r="G62" s="493"/>
      <c r="H62" s="1157"/>
    </row>
    <row r="63" spans="2:8" ht="12.75">
      <c r="B63" s="406"/>
      <c r="C63" s="1492" t="str">
        <f>IF(F61&lt;F62,"Thickness of Stem is OK","Revise the thickness of Stem")</f>
        <v>Thickness of Stem is OK</v>
      </c>
      <c r="D63" s="1493"/>
      <c r="E63" s="1493"/>
      <c r="F63" s="1494"/>
      <c r="G63" s="493"/>
      <c r="H63" s="1157"/>
    </row>
    <row r="64" spans="2:8" ht="12.75">
      <c r="B64" s="406"/>
      <c r="C64" s="324"/>
      <c r="D64" s="23"/>
      <c r="E64" s="324"/>
      <c r="F64" s="324"/>
      <c r="G64" s="493"/>
      <c r="H64" s="1157"/>
    </row>
    <row r="65" spans="2:8" ht="15.75">
      <c r="B65" s="406"/>
      <c r="C65" s="1146" t="s">
        <v>567</v>
      </c>
      <c r="D65" s="609" t="s">
        <v>683</v>
      </c>
      <c r="E65" s="1515" t="s">
        <v>692</v>
      </c>
      <c r="F65" s="1516"/>
      <c r="G65" s="1195">
        <f>(F59*10^3)/(F11*F14*(F40-0.0035))</f>
        <v>1070.8827596244814</v>
      </c>
      <c r="H65" s="1157"/>
    </row>
    <row r="66" spans="2:8" ht="12.75">
      <c r="B66" s="406"/>
      <c r="C66" s="996" t="s">
        <v>568</v>
      </c>
      <c r="D66" s="609" t="s">
        <v>697</v>
      </c>
      <c r="E66" s="647">
        <v>12</v>
      </c>
      <c r="F66" s="616">
        <v>100</v>
      </c>
      <c r="G66" s="1195">
        <f>((((PI()*E66^2)/4)*1000)/F66)</f>
        <v>1130.9733552923256</v>
      </c>
      <c r="H66" s="1157"/>
    </row>
    <row r="67" spans="2:8" ht="15.75">
      <c r="B67" s="406"/>
      <c r="C67" s="996" t="s">
        <v>569</v>
      </c>
      <c r="D67" s="609" t="s">
        <v>349</v>
      </c>
      <c r="E67" s="1515" t="s">
        <v>695</v>
      </c>
      <c r="F67" s="1516"/>
      <c r="G67" s="1196">
        <f>(G65*100)/(1000*((F62*1000)-35))</f>
        <v>0.5491706459612725</v>
      </c>
      <c r="H67" s="1157"/>
    </row>
    <row r="68" spans="2:8" ht="12.75">
      <c r="B68" s="406"/>
      <c r="C68" s="1507" t="str">
        <f>IF(G66&gt;G65,"Steel OK","Revise Steel")</f>
        <v>Steel OK</v>
      </c>
      <c r="D68" s="1508"/>
      <c r="E68" s="1508"/>
      <c r="F68" s="1508"/>
      <c r="G68" s="1509"/>
      <c r="H68" s="1157"/>
    </row>
    <row r="69" spans="2:8" ht="12.75">
      <c r="B69" s="406"/>
      <c r="C69" s="373"/>
      <c r="D69" s="373"/>
      <c r="E69" s="373"/>
      <c r="F69" s="373"/>
      <c r="G69" s="493"/>
      <c r="H69" s="1157"/>
    </row>
    <row r="70" spans="2:8" ht="14.25">
      <c r="B70" s="406"/>
      <c r="C70" s="1455" t="s">
        <v>643</v>
      </c>
      <c r="D70" s="574" t="s">
        <v>982</v>
      </c>
      <c r="E70" s="436" t="s">
        <v>984</v>
      </c>
      <c r="F70" s="1147">
        <f>F21-(F21*((1/2)^(1/3)))</f>
        <v>0.6188984220477005</v>
      </c>
      <c r="G70" s="1150"/>
      <c r="H70" s="1157"/>
    </row>
    <row r="71" spans="2:8" ht="12.75">
      <c r="B71" s="406"/>
      <c r="C71" s="1553"/>
      <c r="D71" s="1476" t="s">
        <v>985</v>
      </c>
      <c r="E71" s="436" t="s">
        <v>983</v>
      </c>
      <c r="F71" s="1147">
        <f>(12*E66)/1000</f>
        <v>0.144</v>
      </c>
      <c r="G71" s="493"/>
      <c r="H71" s="1157"/>
    </row>
    <row r="72" spans="2:8" ht="12.75">
      <c r="B72" s="406"/>
      <c r="C72" s="1456"/>
      <c r="D72" s="1477"/>
      <c r="E72" s="436" t="s">
        <v>986</v>
      </c>
      <c r="F72" s="1147">
        <f>F62</f>
        <v>0.23</v>
      </c>
      <c r="G72" s="492"/>
      <c r="H72" s="1157"/>
    </row>
    <row r="73" spans="2:8" ht="12.75">
      <c r="B73" s="406"/>
      <c r="C73" s="1548" t="s">
        <v>987</v>
      </c>
      <c r="D73" s="1549"/>
      <c r="E73" s="1550"/>
      <c r="F73" s="1147">
        <f>IF(F71&gt;F72,F70+F71,F70+F72)</f>
        <v>0.8488984220477005</v>
      </c>
      <c r="G73" s="1556" t="s">
        <v>988</v>
      </c>
      <c r="H73" s="1557"/>
    </row>
    <row r="74" spans="2:8" ht="12.75">
      <c r="B74" s="406"/>
      <c r="C74" s="373"/>
      <c r="D74" s="373"/>
      <c r="E74" s="373"/>
      <c r="F74" s="373"/>
      <c r="G74" s="493"/>
      <c r="H74" s="1157"/>
    </row>
    <row r="75" spans="2:8" ht="15.75">
      <c r="B75" s="406"/>
      <c r="C75" s="996" t="s">
        <v>737</v>
      </c>
      <c r="D75" s="609" t="s">
        <v>683</v>
      </c>
      <c r="E75" s="1515" t="s">
        <v>989</v>
      </c>
      <c r="F75" s="1516"/>
      <c r="G75" s="1195">
        <f>(0.12*1000*(F62*1000)/100)</f>
        <v>276</v>
      </c>
      <c r="H75" s="1157"/>
    </row>
    <row r="76" spans="2:8" ht="12.75">
      <c r="B76" s="406"/>
      <c r="C76" s="1507" t="str">
        <f>IF(G66/2&gt;G75,"Ast provided is more than mimimun Ast required hence OK","Provided Ast is less than mimimum Ast required hence REVISE the Ast")</f>
        <v>Ast provided is more than mimimun Ast required hence OK</v>
      </c>
      <c r="D76" s="1508"/>
      <c r="E76" s="1508"/>
      <c r="F76" s="1508"/>
      <c r="G76" s="1509"/>
      <c r="H76" s="1157"/>
    </row>
    <row r="77" spans="2:8" ht="12.75">
      <c r="B77" s="1124"/>
      <c r="C77" s="1160"/>
      <c r="D77" s="1160"/>
      <c r="E77" s="1160"/>
      <c r="F77" s="1160"/>
      <c r="G77" s="1190"/>
      <c r="H77" s="1125"/>
    </row>
  </sheetData>
  <sheetProtection/>
  <protectedRanges>
    <protectedRange sqref="E7" name="Inputs"/>
    <protectedRange sqref="E8" name="Inputs_1"/>
    <protectedRange sqref="F46 E44 F54 F68 E66 F76" name="Inputs_1_1_1"/>
  </protectedRanges>
  <mergeCells count="31">
    <mergeCell ref="G51:H51"/>
    <mergeCell ref="E43:F43"/>
    <mergeCell ref="E45:F45"/>
    <mergeCell ref="C41:F41"/>
    <mergeCell ref="C46:G46"/>
    <mergeCell ref="C48:C50"/>
    <mergeCell ref="C26:C27"/>
    <mergeCell ref="E26:E27"/>
    <mergeCell ref="C28:C29"/>
    <mergeCell ref="E28:E29"/>
    <mergeCell ref="F28:F29"/>
    <mergeCell ref="D71:D72"/>
    <mergeCell ref="D36:E36"/>
    <mergeCell ref="G73:H73"/>
    <mergeCell ref="E53:F53"/>
    <mergeCell ref="C54:G54"/>
    <mergeCell ref="D35:F35"/>
    <mergeCell ref="D57:F57"/>
    <mergeCell ref="D58:E58"/>
    <mergeCell ref="C63:F63"/>
    <mergeCell ref="D49:D50"/>
    <mergeCell ref="C73:E73"/>
    <mergeCell ref="C51:E51"/>
    <mergeCell ref="E75:F75"/>
    <mergeCell ref="C76:G76"/>
    <mergeCell ref="C19:D19"/>
    <mergeCell ref="C5:E5"/>
    <mergeCell ref="E65:F65"/>
    <mergeCell ref="E67:F67"/>
    <mergeCell ref="C68:G68"/>
    <mergeCell ref="C70:C72"/>
  </mergeCells>
  <conditionalFormatting sqref="F10:F11">
    <cfRule type="expression" priority="8" dxfId="3">
      <formula>"$D$79&gt;1.4"</formula>
    </cfRule>
  </conditionalFormatting>
  <conditionalFormatting sqref="C41 C63">
    <cfRule type="cellIs" priority="7" dxfId="0" operator="equal">
      <formula>"Thickness of Stem is OK"</formula>
    </cfRule>
  </conditionalFormatting>
  <conditionalFormatting sqref="C46 C54 C68 C76">
    <cfRule type="cellIs" priority="6" dxfId="0" operator="equal">
      <formula>"Steel OK"</formula>
    </cfRule>
  </conditionalFormatting>
  <conditionalFormatting sqref="C54 C76">
    <cfRule type="cellIs" priority="4" dxfId="0" operator="equal">
      <formula>"Ast provided is more than mimimun Ast required hence OK"</formula>
    </cfRule>
  </conditionalFormatting>
  <dataValidations count="3">
    <dataValidation type="list" showInputMessage="1" showErrorMessage="1" sqref="E44 E66">
      <formula1>"8,12,16,20"</formula1>
    </dataValidation>
    <dataValidation type="list" allowBlank="1" showInputMessage="1" showErrorMessage="1" sqref="E8">
      <formula1>"250,415,500"</formula1>
    </dataValidation>
    <dataValidation type="list" allowBlank="1" showInputMessage="1" showErrorMessage="1" sqref="E7">
      <formula1>"15,20,25,30"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62"/>
  <sheetViews>
    <sheetView zoomScalePageLayoutView="0" workbookViewId="0" topLeftCell="A1">
      <selection activeCell="S16" sqref="S16"/>
    </sheetView>
  </sheetViews>
  <sheetFormatPr defaultColWidth="9.140625" defaultRowHeight="12.75"/>
  <cols>
    <col min="1" max="1" width="4.28125" style="23" customWidth="1"/>
    <col min="2" max="2" width="7.57421875" style="23" customWidth="1"/>
    <col min="3" max="3" width="12.8515625" style="23" customWidth="1"/>
    <col min="4" max="4" width="11.421875" style="926" customWidth="1"/>
    <col min="5" max="5" width="10.7109375" style="472" customWidth="1"/>
    <col min="6" max="6" width="4.57421875" style="23" bestFit="1" customWidth="1"/>
    <col min="7" max="11" width="3.7109375" style="23" customWidth="1"/>
    <col min="12" max="14" width="3.7109375" style="4" customWidth="1"/>
    <col min="15" max="17" width="3.7109375" style="23" customWidth="1"/>
    <col min="18" max="18" width="4.00390625" style="23" bestFit="1" customWidth="1"/>
    <col min="19" max="19" width="6.7109375" style="23" bestFit="1" customWidth="1"/>
    <col min="20" max="20" width="11.00390625" style="23" bestFit="1" customWidth="1"/>
    <col min="21" max="21" width="4.00390625" style="23" bestFit="1" customWidth="1"/>
    <col min="22" max="22" width="12.7109375" style="23" customWidth="1"/>
    <col min="23" max="23" width="12.28125" style="23" bestFit="1" customWidth="1"/>
    <col min="24" max="24" width="23.421875" style="23" customWidth="1"/>
    <col min="25" max="16384" width="9.140625" style="23" customWidth="1"/>
  </cols>
  <sheetData>
    <row r="2" spans="2:20" ht="15.75">
      <c r="B2" s="1214" t="s">
        <v>847</v>
      </c>
      <c r="C2" s="1215"/>
      <c r="D2" s="1215"/>
      <c r="E2" s="1215"/>
      <c r="F2" s="1215"/>
      <c r="G2" s="1215"/>
      <c r="H2" s="1215"/>
      <c r="I2" s="1215"/>
      <c r="J2" s="1215"/>
      <c r="K2" s="1215"/>
      <c r="L2" s="1215"/>
      <c r="M2" s="1215"/>
      <c r="N2" s="1215"/>
      <c r="O2" s="1215"/>
      <c r="P2" s="1216"/>
      <c r="T2" s="324"/>
    </row>
    <row r="3" spans="4:20" ht="12.75">
      <c r="D3" s="23"/>
      <c r="L3" s="3"/>
      <c r="M3" s="3"/>
      <c r="N3" s="3"/>
      <c r="O3" s="44"/>
      <c r="T3" s="324"/>
    </row>
    <row r="4" spans="2:20" ht="12.75">
      <c r="B4" s="27"/>
      <c r="C4" s="28"/>
      <c r="D4" s="28"/>
      <c r="E4" s="915"/>
      <c r="F4" s="28"/>
      <c r="G4" s="28"/>
      <c r="H4" s="28"/>
      <c r="I4" s="28"/>
      <c r="J4" s="28"/>
      <c r="K4" s="28"/>
      <c r="L4" s="160"/>
      <c r="M4" s="160"/>
      <c r="N4" s="160"/>
      <c r="O4" s="159"/>
      <c r="P4" s="158"/>
      <c r="T4" s="324"/>
    </row>
    <row r="5" spans="2:20" ht="12.75">
      <c r="B5" s="53"/>
      <c r="C5" s="392" t="s">
        <v>536</v>
      </c>
      <c r="L5" s="3"/>
      <c r="M5" s="3"/>
      <c r="N5" s="3"/>
      <c r="O5" s="44"/>
      <c r="P5" s="137"/>
      <c r="T5" s="324"/>
    </row>
    <row r="6" spans="2:20" ht="12.75">
      <c r="B6" s="53"/>
      <c r="C6" s="109" t="s">
        <v>34</v>
      </c>
      <c r="D6" s="7" t="s">
        <v>35</v>
      </c>
      <c r="E6" s="916">
        <v>2000</v>
      </c>
      <c r="G6" s="129"/>
      <c r="L6" s="3"/>
      <c r="M6" s="3"/>
      <c r="N6" s="3"/>
      <c r="O6" s="44"/>
      <c r="P6" s="137"/>
      <c r="T6" s="324"/>
    </row>
    <row r="7" spans="2:20" ht="12.75">
      <c r="B7" s="53"/>
      <c r="C7" s="96" t="s">
        <v>36</v>
      </c>
      <c r="D7" s="9" t="s">
        <v>848</v>
      </c>
      <c r="E7" s="917">
        <v>20</v>
      </c>
      <c r="G7" s="129"/>
      <c r="L7" s="3"/>
      <c r="M7" s="3"/>
      <c r="N7" s="3"/>
      <c r="O7" s="44"/>
      <c r="P7" s="137"/>
      <c r="T7" s="324"/>
    </row>
    <row r="8" spans="2:20" ht="12.75">
      <c r="B8" s="53"/>
      <c r="G8" s="129"/>
      <c r="H8" s="4"/>
      <c r="I8" s="1217"/>
      <c r="J8" s="1217"/>
      <c r="K8" s="1217"/>
      <c r="L8" s="3"/>
      <c r="M8" s="3"/>
      <c r="N8" s="3"/>
      <c r="O8" s="44"/>
      <c r="P8" s="137"/>
      <c r="T8" s="324"/>
    </row>
    <row r="9" spans="2:20" ht="12.75">
      <c r="B9" s="53"/>
      <c r="C9" s="129" t="s">
        <v>47</v>
      </c>
      <c r="L9" s="3"/>
      <c r="M9" s="3"/>
      <c r="N9" s="3"/>
      <c r="O9" s="44"/>
      <c r="P9" s="137"/>
      <c r="T9" s="324"/>
    </row>
    <row r="10" spans="2:20" ht="12.75">
      <c r="B10" s="53"/>
      <c r="C10" s="545" t="s">
        <v>11</v>
      </c>
      <c r="D10" s="7" t="s">
        <v>0</v>
      </c>
      <c r="E10" s="918">
        <v>200</v>
      </c>
      <c r="F10" s="925"/>
      <c r="G10" s="925"/>
      <c r="H10" s="4"/>
      <c r="I10" s="924"/>
      <c r="J10" s="924"/>
      <c r="K10" s="924"/>
      <c r="L10" s="3"/>
      <c r="M10" s="3"/>
      <c r="N10" s="3"/>
      <c r="O10" s="44"/>
      <c r="P10" s="137"/>
      <c r="T10" s="324"/>
    </row>
    <row r="11" spans="2:20" ht="12.75">
      <c r="B11" s="53"/>
      <c r="C11" s="539" t="s">
        <v>12</v>
      </c>
      <c r="D11" s="4" t="s">
        <v>37</v>
      </c>
      <c r="E11" s="918">
        <v>200</v>
      </c>
      <c r="F11" s="925"/>
      <c r="G11" s="925"/>
      <c r="H11" s="4"/>
      <c r="I11" s="924"/>
      <c r="J11" s="924"/>
      <c r="K11" s="924"/>
      <c r="L11" s="3"/>
      <c r="M11" s="3"/>
      <c r="N11" s="3"/>
      <c r="O11" s="44"/>
      <c r="P11" s="137"/>
      <c r="T11" s="324"/>
    </row>
    <row r="12" spans="2:20" ht="12.75">
      <c r="B12" s="53"/>
      <c r="C12" s="543" t="s">
        <v>869</v>
      </c>
      <c r="D12" s="9" t="s">
        <v>46</v>
      </c>
      <c r="E12" s="910">
        <v>3</v>
      </c>
      <c r="F12" s="928"/>
      <c r="G12" s="928"/>
      <c r="H12" s="4"/>
      <c r="I12" s="924"/>
      <c r="J12" s="924"/>
      <c r="K12" s="924"/>
      <c r="L12" s="3"/>
      <c r="M12" s="3"/>
      <c r="N12" s="3"/>
      <c r="O12" s="44"/>
      <c r="P12" s="137"/>
      <c r="T12" s="324"/>
    </row>
    <row r="13" spans="2:20" ht="12.75" customHeight="1">
      <c r="B13" s="53"/>
      <c r="L13" s="3"/>
      <c r="M13" s="3"/>
      <c r="N13" s="3"/>
      <c r="O13" s="44"/>
      <c r="P13" s="137"/>
      <c r="T13" s="324"/>
    </row>
    <row r="14" spans="2:20" ht="12.75">
      <c r="B14" s="53"/>
      <c r="C14" s="129" t="s">
        <v>40</v>
      </c>
      <c r="D14" s="129"/>
      <c r="L14" s="3"/>
      <c r="M14" s="3"/>
      <c r="N14" s="3"/>
      <c r="O14" s="44"/>
      <c r="P14" s="137"/>
      <c r="T14" s="324"/>
    </row>
    <row r="15" spans="2:20" ht="12.75">
      <c r="B15" s="53"/>
      <c r="C15" s="545" t="s">
        <v>80</v>
      </c>
      <c r="D15" s="7" t="s">
        <v>41</v>
      </c>
      <c r="E15" s="919">
        <v>20</v>
      </c>
      <c r="L15" s="3"/>
      <c r="M15" s="3"/>
      <c r="N15" s="3"/>
      <c r="O15" s="44"/>
      <c r="P15" s="137"/>
      <c r="T15" s="4"/>
    </row>
    <row r="16" spans="2:20" ht="12.75" customHeight="1">
      <c r="B16" s="53"/>
      <c r="C16" s="543" t="s">
        <v>466</v>
      </c>
      <c r="D16" s="9" t="s">
        <v>49</v>
      </c>
      <c r="E16" s="919">
        <v>415</v>
      </c>
      <c r="L16" s="3"/>
      <c r="M16" s="3"/>
      <c r="N16" s="3"/>
      <c r="O16" s="44"/>
      <c r="P16" s="137"/>
      <c r="T16" s="1220"/>
    </row>
    <row r="17" spans="2:20" ht="12.75">
      <c r="B17" s="53"/>
      <c r="L17" s="3"/>
      <c r="M17" s="3"/>
      <c r="N17" s="3"/>
      <c r="O17" s="44"/>
      <c r="P17" s="137"/>
      <c r="T17" s="1220"/>
    </row>
    <row r="18" spans="2:20" ht="12.75" customHeight="1">
      <c r="B18" s="53"/>
      <c r="C18" s="83" t="s">
        <v>849</v>
      </c>
      <c r="D18" s="953">
        <f>(E6*1000)/(E15*E10*E11)</f>
        <v>2.5</v>
      </c>
      <c r="E18" s="23"/>
      <c r="G18" s="1222" t="s">
        <v>854</v>
      </c>
      <c r="H18" s="1222"/>
      <c r="I18" s="1222"/>
      <c r="J18" s="1222"/>
      <c r="K18" s="1222"/>
      <c r="L18" s="1222"/>
      <c r="M18" s="1222"/>
      <c r="N18" s="3"/>
      <c r="O18" s="44"/>
      <c r="P18" s="137"/>
      <c r="T18" s="1220"/>
    </row>
    <row r="19" spans="2:20" ht="14.25">
      <c r="B19" s="53"/>
      <c r="C19" s="76" t="s">
        <v>850</v>
      </c>
      <c r="D19" s="953">
        <f>(E7*1000000)/(20*230*600*600)</f>
        <v>0.012077294685990338</v>
      </c>
      <c r="E19" s="23"/>
      <c r="G19" s="62" t="s">
        <v>470</v>
      </c>
      <c r="H19" s="1221">
        <f>((E12*100)/500)+((E10/10)/30)</f>
        <v>1.2666666666666666</v>
      </c>
      <c r="I19" s="1221"/>
      <c r="J19" s="1221"/>
      <c r="K19" s="1223" t="str">
        <f>IF((H19/E10)&lt;0.05,"OK","&gt; 0.05 * b")</f>
        <v>OK</v>
      </c>
      <c r="L19" s="1223"/>
      <c r="M19" s="1223"/>
      <c r="N19" s="3"/>
      <c r="O19" s="44"/>
      <c r="P19" s="137"/>
      <c r="T19" s="1220"/>
    </row>
    <row r="20" spans="2:20" ht="12.75">
      <c r="B20" s="53"/>
      <c r="C20" s="83" t="s">
        <v>4</v>
      </c>
      <c r="D20" s="939">
        <f>IF(I8/E11&lt;=0.05,0.05,IF(I8/E11&lt;=0.1,0.1,IF(I8/E11&lt;=0.15,0.15,IF(I8/E11&lt;=0.2,0.2))))</f>
        <v>0.05</v>
      </c>
      <c r="E20" s="23"/>
      <c r="G20" s="62" t="s">
        <v>48</v>
      </c>
      <c r="H20" s="1221">
        <f>((E12*100)/500)+((E11/10)/30)</f>
        <v>1.2666666666666666</v>
      </c>
      <c r="I20" s="1221"/>
      <c r="J20" s="1221"/>
      <c r="K20" s="1223" t="str">
        <f>IF((H20/E11)&lt;0.05,"OK","&gt; 0.05 * d")</f>
        <v>OK</v>
      </c>
      <c r="L20" s="1223"/>
      <c r="M20" s="1223"/>
      <c r="N20" s="3"/>
      <c r="O20" s="44"/>
      <c r="P20" s="137"/>
      <c r="T20" s="1220"/>
    </row>
    <row r="21" spans="2:20" ht="12.75">
      <c r="B21" s="53"/>
      <c r="C21" s="926"/>
      <c r="D21" s="920"/>
      <c r="E21" s="23"/>
      <c r="L21" s="3"/>
      <c r="M21" s="3"/>
      <c r="N21" s="3"/>
      <c r="O21" s="44"/>
      <c r="P21" s="137"/>
      <c r="T21" s="1220"/>
    </row>
    <row r="22" spans="2:20" ht="12.75">
      <c r="B22" s="53"/>
      <c r="D22" s="23"/>
      <c r="L22" s="3"/>
      <c r="M22" s="3"/>
      <c r="N22" s="3"/>
      <c r="O22" s="44"/>
      <c r="P22" s="137"/>
      <c r="T22" s="1220"/>
    </row>
    <row r="23" spans="2:20" ht="12.75">
      <c r="B23" s="89"/>
      <c r="C23" s="34" t="str">
        <f>CONCATENATE("Refer ",C61," of SP 16, Page no: ",D61,)</f>
        <v>Refer Chart 31 of SP 16, Page no: 116</v>
      </c>
      <c r="D23" s="23"/>
      <c r="E23" s="921"/>
      <c r="L23" s="3"/>
      <c r="M23" s="3"/>
      <c r="N23" s="3"/>
      <c r="O23" s="44"/>
      <c r="P23" s="137"/>
      <c r="T23" s="1220"/>
    </row>
    <row r="24" spans="2:20" ht="12.75">
      <c r="B24" s="53"/>
      <c r="D24" s="23"/>
      <c r="L24" s="3"/>
      <c r="M24" s="3"/>
      <c r="N24" s="3"/>
      <c r="O24" s="44"/>
      <c r="P24" s="137"/>
      <c r="T24" s="324"/>
    </row>
    <row r="25" spans="2:20" ht="12.75">
      <c r="B25" s="53"/>
      <c r="C25" s="4" t="s">
        <v>39</v>
      </c>
      <c r="D25" s="65">
        <v>0.18</v>
      </c>
      <c r="L25" s="3"/>
      <c r="M25" s="3"/>
      <c r="N25" s="3"/>
      <c r="O25" s="44"/>
      <c r="P25" s="137"/>
      <c r="T25" s="324"/>
    </row>
    <row r="26" spans="2:20" ht="12.75">
      <c r="B26" s="53"/>
      <c r="C26" s="4"/>
      <c r="D26" s="911"/>
      <c r="L26" s="3"/>
      <c r="M26" s="3"/>
      <c r="N26" s="3"/>
      <c r="O26" s="44"/>
      <c r="P26" s="137"/>
      <c r="T26" s="324"/>
    </row>
    <row r="27" spans="2:20" ht="12.75">
      <c r="B27" s="53"/>
      <c r="C27" s="62" t="s">
        <v>851</v>
      </c>
      <c r="D27" s="941">
        <f>D25*E15</f>
        <v>3.5999999999999996</v>
      </c>
      <c r="L27" s="3"/>
      <c r="M27" s="3"/>
      <c r="N27" s="3"/>
      <c r="O27" s="44"/>
      <c r="P27" s="137"/>
      <c r="T27" s="324"/>
    </row>
    <row r="28" spans="2:20" ht="12.75">
      <c r="B28" s="53"/>
      <c r="C28" s="62" t="s">
        <v>5</v>
      </c>
      <c r="D28" s="942">
        <f>(D27*E10*E11)/100</f>
        <v>1439.9999999999998</v>
      </c>
      <c r="E28" s="940"/>
      <c r="F28" s="940"/>
      <c r="G28" s="940"/>
      <c r="L28" s="3"/>
      <c r="M28" s="3"/>
      <c r="N28" s="3"/>
      <c r="O28" s="44"/>
      <c r="P28" s="137"/>
      <c r="T28" s="324"/>
    </row>
    <row r="29" spans="2:20" ht="12.75">
      <c r="B29" s="53"/>
      <c r="D29" s="23"/>
      <c r="E29" s="23"/>
      <c r="L29" s="3"/>
      <c r="M29" s="3"/>
      <c r="N29" s="3"/>
      <c r="O29" s="44"/>
      <c r="P29" s="137"/>
      <c r="T29" s="324"/>
    </row>
    <row r="30" spans="2:20" ht="12.75">
      <c r="B30" s="53"/>
      <c r="D30" s="44"/>
      <c r="L30" s="3"/>
      <c r="M30" s="3"/>
      <c r="N30" s="3"/>
      <c r="O30" s="44"/>
      <c r="P30" s="137"/>
      <c r="T30" s="122"/>
    </row>
    <row r="31" spans="2:20" ht="12.75">
      <c r="B31" s="53"/>
      <c r="C31" s="112" t="s">
        <v>852</v>
      </c>
      <c r="D31" s="44"/>
      <c r="G31" s="125"/>
      <c r="L31" s="3"/>
      <c r="M31" s="3"/>
      <c r="N31" s="3"/>
      <c r="O31" s="44"/>
      <c r="P31" s="137"/>
      <c r="T31" s="324"/>
    </row>
    <row r="32" spans="2:20" ht="12.75">
      <c r="B32" s="53"/>
      <c r="C32" s="62" t="s">
        <v>42</v>
      </c>
      <c r="D32" s="62" t="s">
        <v>43</v>
      </c>
      <c r="E32" s="891" t="s">
        <v>44</v>
      </c>
      <c r="H32" s="125"/>
      <c r="I32" s="125"/>
      <c r="J32" s="125"/>
      <c r="K32" s="125"/>
      <c r="L32" s="125"/>
      <c r="M32" s="125"/>
      <c r="N32" s="125"/>
      <c r="O32" s="125"/>
      <c r="P32" s="137"/>
      <c r="T32" s="324"/>
    </row>
    <row r="33" spans="2:20" s="129" customFormat="1" ht="24.75">
      <c r="B33" s="927"/>
      <c r="C33" s="944">
        <v>25</v>
      </c>
      <c r="D33" s="209">
        <v>4</v>
      </c>
      <c r="E33" s="943">
        <f>IF(C33="-","",(((PI()/4)*C33*C33)*D33))</f>
        <v>1963.4954084936207</v>
      </c>
      <c r="G33" s="935" t="s">
        <v>853</v>
      </c>
      <c r="H33" s="936" t="str">
        <f>IF(D34=6,"●",IF(D34=4,"●",""))</f>
        <v>●</v>
      </c>
      <c r="I33" s="937" t="str">
        <f>IF(D35=6,"●",IF(D35=4,"●",""))</f>
        <v>●</v>
      </c>
      <c r="J33" s="937"/>
      <c r="K33" s="937" t="str">
        <f>IF(D35=6,"●",IF(D35=4,"●",""))</f>
        <v>●</v>
      </c>
      <c r="L33" s="936" t="str">
        <f>IF(D34=6,"●",IF(D34=4,"●",""))</f>
        <v>●</v>
      </c>
      <c r="M33" s="935" t="s">
        <v>853</v>
      </c>
      <c r="N33" s="929">
        <f>IF(D33="-","",D33)</f>
        <v>4</v>
      </c>
      <c r="O33" s="930">
        <f>IF(C33="-","",C33)</f>
        <v>25</v>
      </c>
      <c r="P33" s="951"/>
      <c r="T33" s="324"/>
    </row>
    <row r="34" spans="2:20" s="129" customFormat="1" ht="24.75">
      <c r="B34" s="927"/>
      <c r="C34" s="944">
        <v>20</v>
      </c>
      <c r="D34" s="209">
        <v>4</v>
      </c>
      <c r="E34" s="943">
        <f>IF(C34="-","",(((PI()/4)*C34*C34)*D34))</f>
        <v>1256.6370614359173</v>
      </c>
      <c r="G34" s="935">
        <f>IF(D33=6,"●","")</f>
      </c>
      <c r="H34" s="936">
        <f>IF(D34=6,"●","")</f>
      </c>
      <c r="I34" s="937">
        <f>IF(D35=6,"●","")</f>
      </c>
      <c r="J34" s="938"/>
      <c r="K34" s="937">
        <f>IF(D35=6,"●","")</f>
      </c>
      <c r="L34" s="936">
        <f>IF(D34=6,"●","")</f>
      </c>
      <c r="M34" s="935">
        <f>IF(D33=6,"●","")</f>
      </c>
      <c r="N34" s="931">
        <f>IF(D34="-","",D34)</f>
        <v>4</v>
      </c>
      <c r="O34" s="932">
        <f>IF(C34="-","",C34)</f>
        <v>20</v>
      </c>
      <c r="P34" s="951"/>
      <c r="T34" s="324"/>
    </row>
    <row r="35" spans="2:20" s="129" customFormat="1" ht="24.75">
      <c r="B35" s="927"/>
      <c r="C35" s="944">
        <v>20</v>
      </c>
      <c r="D35" s="209">
        <v>4</v>
      </c>
      <c r="E35" s="943">
        <f>IF(C35="-","",(((PI()/4)*C35*C35)*D35))</f>
        <v>1256.6370614359173</v>
      </c>
      <c r="G35" s="935" t="s">
        <v>853</v>
      </c>
      <c r="H35" s="936" t="str">
        <f>IF(D34=6,"●",IF(D34=4,"●",""))</f>
        <v>●</v>
      </c>
      <c r="I35" s="937" t="str">
        <f>IF(D35=6,"●",IF(D35=4,"●",""))</f>
        <v>●</v>
      </c>
      <c r="J35" s="937"/>
      <c r="K35" s="937" t="str">
        <f>IF(D35=6,"●",IF(D35=4,"●",""))</f>
        <v>●</v>
      </c>
      <c r="L35" s="936" t="str">
        <f>IF(D34=6,"●",IF(D34=4,"●",""))</f>
        <v>●</v>
      </c>
      <c r="M35" s="935" t="s">
        <v>853</v>
      </c>
      <c r="N35" s="933">
        <f>IF(D35="-","",D35)</f>
        <v>4</v>
      </c>
      <c r="O35" s="934">
        <f>IF(C35="-","",C35)</f>
        <v>20</v>
      </c>
      <c r="P35" s="951"/>
      <c r="T35" s="334"/>
    </row>
    <row r="36" spans="2:20" ht="12.75">
      <c r="B36" s="53"/>
      <c r="C36" s="903" t="s">
        <v>870</v>
      </c>
      <c r="D36" s="913">
        <f>SUM(D33:D35)</f>
        <v>12</v>
      </c>
      <c r="E36" s="923">
        <f>SUM(E33:E35)</f>
        <v>4476.769531365456</v>
      </c>
      <c r="P36" s="137"/>
      <c r="T36" s="324"/>
    </row>
    <row r="37" spans="2:20" ht="12.75">
      <c r="B37" s="53"/>
      <c r="C37" s="37"/>
      <c r="D37" s="48"/>
      <c r="E37" s="922"/>
      <c r="P37" s="137"/>
      <c r="T37" s="324"/>
    </row>
    <row r="38" spans="2:20" ht="12.75" customHeight="1">
      <c r="B38" s="53"/>
      <c r="C38" s="1219" t="str">
        <f>IF(E36&lt;D28,"Increase the bar diameter or The total number of bars provided","Steel provided OK")</f>
        <v>Steel provided OK</v>
      </c>
      <c r="D38" s="1219"/>
      <c r="E38" s="1219"/>
      <c r="F38" s="1219"/>
      <c r="G38" s="1219"/>
      <c r="H38" s="1219"/>
      <c r="I38" s="1219"/>
      <c r="J38" s="1219"/>
      <c r="K38" s="1219"/>
      <c r="L38" s="1219"/>
      <c r="M38" s="1219"/>
      <c r="P38" s="137"/>
      <c r="T38" s="324"/>
    </row>
    <row r="39" spans="2:20" ht="12.75">
      <c r="B39" s="29"/>
      <c r="C39" s="952"/>
      <c r="D39" s="952"/>
      <c r="E39" s="952"/>
      <c r="F39" s="30"/>
      <c r="G39" s="30"/>
      <c r="H39" s="30"/>
      <c r="I39" s="30"/>
      <c r="J39" s="30"/>
      <c r="K39" s="30"/>
      <c r="L39" s="9"/>
      <c r="M39" s="9"/>
      <c r="N39" s="9"/>
      <c r="O39" s="30"/>
      <c r="P39" s="140"/>
      <c r="T39" s="324"/>
    </row>
    <row r="41" spans="12:14" ht="12.75">
      <c r="L41" s="23"/>
      <c r="M41" s="23"/>
      <c r="N41" s="23"/>
    </row>
    <row r="42" spans="2:14" ht="12.75">
      <c r="B42" s="912" t="s">
        <v>49</v>
      </c>
      <c r="C42" s="912" t="s">
        <v>4</v>
      </c>
      <c r="D42" s="914" t="s">
        <v>855</v>
      </c>
      <c r="E42" s="914" t="s">
        <v>856</v>
      </c>
      <c r="L42" s="23"/>
      <c r="M42" s="23"/>
      <c r="N42" s="23"/>
    </row>
    <row r="43" spans="2:14" ht="12.75">
      <c r="B43" s="1218">
        <v>250</v>
      </c>
      <c r="C43" s="11">
        <v>0.05</v>
      </c>
      <c r="D43" s="892" t="s">
        <v>857</v>
      </c>
      <c r="E43" s="11">
        <v>112</v>
      </c>
      <c r="L43" s="23"/>
      <c r="M43" s="23"/>
      <c r="N43" s="23"/>
    </row>
    <row r="44" spans="2:14" ht="12.75">
      <c r="B44" s="1218"/>
      <c r="C44" s="11">
        <v>0.1</v>
      </c>
      <c r="D44" s="892" t="s">
        <v>858</v>
      </c>
      <c r="E44" s="11">
        <v>113</v>
      </c>
      <c r="L44" s="23"/>
      <c r="M44" s="23"/>
      <c r="N44" s="23"/>
    </row>
    <row r="45" spans="2:14" ht="12.75">
      <c r="B45" s="1218"/>
      <c r="C45" s="11">
        <v>0.15</v>
      </c>
      <c r="D45" s="892" t="s">
        <v>859</v>
      </c>
      <c r="E45" s="11">
        <v>114</v>
      </c>
      <c r="L45" s="23"/>
      <c r="M45" s="23"/>
      <c r="N45" s="23"/>
    </row>
    <row r="46" spans="2:5" ht="12.75">
      <c r="B46" s="1218"/>
      <c r="C46" s="11">
        <v>0.2</v>
      </c>
      <c r="D46" s="892" t="s">
        <v>860</v>
      </c>
      <c r="E46" s="11">
        <v>115</v>
      </c>
    </row>
    <row r="47" spans="2:5" ht="12.75">
      <c r="B47" s="1218">
        <v>415</v>
      </c>
      <c r="C47" s="11">
        <v>0.05</v>
      </c>
      <c r="D47" s="892" t="s">
        <v>861</v>
      </c>
      <c r="E47" s="11">
        <v>116</v>
      </c>
    </row>
    <row r="48" spans="2:5" ht="12.75">
      <c r="B48" s="1218"/>
      <c r="C48" s="11">
        <v>0.1</v>
      </c>
      <c r="D48" s="892" t="s">
        <v>862</v>
      </c>
      <c r="E48" s="11">
        <v>117</v>
      </c>
    </row>
    <row r="49" spans="2:5" ht="12.75">
      <c r="B49" s="1218"/>
      <c r="C49" s="11">
        <v>0.15</v>
      </c>
      <c r="D49" s="892" t="s">
        <v>863</v>
      </c>
      <c r="E49" s="11">
        <v>118</v>
      </c>
    </row>
    <row r="50" spans="2:5" ht="12.75">
      <c r="B50" s="1218"/>
      <c r="C50" s="11">
        <v>0.2</v>
      </c>
      <c r="D50" s="892" t="s">
        <v>864</v>
      </c>
      <c r="E50" s="11">
        <v>119</v>
      </c>
    </row>
    <row r="51" spans="2:5" ht="12.75">
      <c r="B51" s="1218">
        <v>500</v>
      </c>
      <c r="C51" s="11">
        <v>0.05</v>
      </c>
      <c r="D51" s="892" t="s">
        <v>865</v>
      </c>
      <c r="E51" s="11">
        <v>120</v>
      </c>
    </row>
    <row r="52" spans="2:5" ht="12.75">
      <c r="B52" s="1218"/>
      <c r="C52" s="11">
        <v>0.1</v>
      </c>
      <c r="D52" s="892" t="s">
        <v>866</v>
      </c>
      <c r="E52" s="11">
        <v>121</v>
      </c>
    </row>
    <row r="53" spans="2:5" ht="12.75">
      <c r="B53" s="1218"/>
      <c r="C53" s="11">
        <v>0.15</v>
      </c>
      <c r="D53" s="892" t="s">
        <v>867</v>
      </c>
      <c r="E53" s="11">
        <v>122</v>
      </c>
    </row>
    <row r="54" spans="2:5" ht="12.75">
      <c r="B54" s="1218"/>
      <c r="C54" s="11">
        <v>0.2</v>
      </c>
      <c r="D54" s="892" t="s">
        <v>868</v>
      </c>
      <c r="E54" s="11">
        <v>123</v>
      </c>
    </row>
    <row r="55" spans="2:5" ht="12.75">
      <c r="B55" s="945"/>
      <c r="D55" s="23"/>
      <c r="E55" s="137"/>
    </row>
    <row r="56" spans="2:5" ht="12.75">
      <c r="B56" s="897"/>
      <c r="C56" s="199">
        <v>250</v>
      </c>
      <c r="D56" s="199" t="str">
        <f>VLOOKUP(D20,C43:D46,2)</f>
        <v>Chart 27</v>
      </c>
      <c r="E56" s="898"/>
    </row>
    <row r="57" spans="2:5" ht="12.75">
      <c r="B57" s="945"/>
      <c r="C57" s="199">
        <v>415</v>
      </c>
      <c r="D57" s="199" t="str">
        <f>VLOOKUP(D20,C47:D50,2)</f>
        <v>Chart 31</v>
      </c>
      <c r="E57" s="946"/>
    </row>
    <row r="58" spans="2:5" ht="12.75">
      <c r="B58" s="899"/>
      <c r="C58" s="199">
        <v>500</v>
      </c>
      <c r="D58" s="199" t="str">
        <f>VLOOKUP(D20,C51:D54,2)</f>
        <v>Chart 35</v>
      </c>
      <c r="E58" s="900"/>
    </row>
    <row r="59" spans="2:5" ht="12.75">
      <c r="B59" s="897"/>
      <c r="C59" s="28"/>
      <c r="D59" s="28"/>
      <c r="E59" s="898"/>
    </row>
    <row r="60" spans="2:5" ht="12.75">
      <c r="B60" s="947"/>
      <c r="C60" s="914" t="s">
        <v>855</v>
      </c>
      <c r="D60" s="914" t="s">
        <v>856</v>
      </c>
      <c r="E60" s="949"/>
    </row>
    <row r="61" spans="2:5" ht="12.75">
      <c r="B61" s="945"/>
      <c r="C61" s="199" t="str">
        <f>VLOOKUP(E16,C56:D58,2)</f>
        <v>Chart 31</v>
      </c>
      <c r="D61" s="199">
        <f>VLOOKUP(C61,D42:E54,2)</f>
        <v>116</v>
      </c>
      <c r="E61" s="949"/>
    </row>
    <row r="62" spans="2:5" ht="12.75">
      <c r="B62" s="29"/>
      <c r="C62" s="30"/>
      <c r="D62" s="948"/>
      <c r="E62" s="950"/>
    </row>
  </sheetData>
  <sheetProtection/>
  <protectedRanges>
    <protectedRange sqref="C33:C35" name="Inputs_2"/>
    <protectedRange sqref="E15" name="Inputs_1_1"/>
  </protectedRanges>
  <mergeCells count="14">
    <mergeCell ref="T16:T17"/>
    <mergeCell ref="T20:T23"/>
    <mergeCell ref="T18:T19"/>
    <mergeCell ref="H19:J19"/>
    <mergeCell ref="G18:M18"/>
    <mergeCell ref="K19:M19"/>
    <mergeCell ref="K20:M20"/>
    <mergeCell ref="H20:J20"/>
    <mergeCell ref="B2:P2"/>
    <mergeCell ref="I8:K8"/>
    <mergeCell ref="B51:B54"/>
    <mergeCell ref="B47:B50"/>
    <mergeCell ref="B43:B46"/>
    <mergeCell ref="C38:M38"/>
  </mergeCells>
  <conditionalFormatting sqref="G33">
    <cfRule type="cellIs" priority="2" dxfId="29" operator="equal" stopIfTrue="1">
      <formula>"$B$27=12"</formula>
    </cfRule>
  </conditionalFormatting>
  <dataValidations count="4">
    <dataValidation type="list" allowBlank="1" showInputMessage="1" showErrorMessage="1" sqref="E16">
      <formula1>"250,415,500"</formula1>
    </dataValidation>
    <dataValidation type="list" allowBlank="1" showInputMessage="1" showErrorMessage="1" sqref="E15">
      <formula1>"15,20,25,30"</formula1>
    </dataValidation>
    <dataValidation type="list" showInputMessage="1" showErrorMessage="1" sqref="C33:C35">
      <formula1>" -,12,16,20,25"</formula1>
    </dataValidation>
    <dataValidation type="list" allowBlank="1" showInputMessage="1" showErrorMessage="1" sqref="D33:D35">
      <formula1>"-,4,6"</formula1>
    </dataValidation>
  </dataValidations>
  <printOptions horizontalCentered="1"/>
  <pageMargins left="0.2" right="0" top="1.25" bottom="1.25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6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4.28125" style="43" customWidth="1"/>
    <col min="2" max="2" width="4.57421875" style="43" customWidth="1"/>
    <col min="3" max="3" width="9.140625" style="43" customWidth="1"/>
    <col min="4" max="4" width="5.57421875" style="43" customWidth="1"/>
    <col min="5" max="5" width="6.00390625" style="197" customWidth="1"/>
    <col min="6" max="6" width="9.140625" style="43" bestFit="1" customWidth="1"/>
    <col min="7" max="8" width="10.28125" style="43" bestFit="1" customWidth="1"/>
    <col min="9" max="9" width="7.7109375" style="43" bestFit="1" customWidth="1"/>
    <col min="10" max="10" width="8.7109375" style="43" bestFit="1" customWidth="1"/>
    <col min="11" max="11" width="9.00390625" style="43" bestFit="1" customWidth="1"/>
    <col min="12" max="13" width="6.7109375" style="43" bestFit="1" customWidth="1"/>
    <col min="14" max="14" width="7.421875" style="43" bestFit="1" customWidth="1"/>
    <col min="15" max="15" width="8.421875" style="43" bestFit="1" customWidth="1"/>
    <col min="16" max="16" width="9.7109375" style="43" bestFit="1" customWidth="1"/>
    <col min="17" max="17" width="10.7109375" style="43" bestFit="1" customWidth="1"/>
    <col min="18" max="18" width="5.00390625" style="43" bestFit="1" customWidth="1"/>
    <col min="19" max="19" width="9.28125" style="43" bestFit="1" customWidth="1"/>
    <col min="20" max="20" width="6.8515625" style="43" customWidth="1"/>
    <col min="21" max="21" width="12.00390625" style="43" bestFit="1" customWidth="1"/>
    <col min="22" max="22" width="12.00390625" style="5" bestFit="1" customWidth="1"/>
    <col min="23" max="23" width="10.7109375" style="5" customWidth="1"/>
    <col min="24" max="24" width="4.00390625" style="43" bestFit="1" customWidth="1"/>
    <col min="25" max="25" width="6.7109375" style="43" bestFit="1" customWidth="1"/>
    <col min="26" max="26" width="12.421875" style="43" customWidth="1"/>
    <col min="27" max="27" width="4.00390625" style="43" bestFit="1" customWidth="1"/>
    <col min="28" max="28" width="6.7109375" style="43" bestFit="1" customWidth="1"/>
    <col min="29" max="29" width="11.00390625" style="43" bestFit="1" customWidth="1"/>
    <col min="30" max="30" width="4.00390625" style="43" bestFit="1" customWidth="1"/>
    <col min="31" max="31" width="12.7109375" style="43" customWidth="1"/>
    <col min="32" max="32" width="12.28125" style="43" bestFit="1" customWidth="1"/>
    <col min="33" max="33" width="23.421875" style="43" customWidth="1"/>
    <col min="34" max="16384" width="9.140625" style="43" customWidth="1"/>
  </cols>
  <sheetData>
    <row r="1" spans="1:31" ht="14.25">
      <c r="A1" s="196"/>
      <c r="B1" s="196"/>
      <c r="C1" s="196"/>
      <c r="D1" s="192"/>
      <c r="E1" s="193"/>
      <c r="F1" s="192"/>
      <c r="G1" s="192"/>
      <c r="H1" s="192"/>
      <c r="I1" s="192"/>
      <c r="J1" s="192"/>
      <c r="K1" s="192"/>
      <c r="L1" s="192"/>
      <c r="M1" s="194"/>
      <c r="N1" s="194"/>
      <c r="O1" s="194"/>
      <c r="P1" s="194"/>
      <c r="Q1" s="194"/>
      <c r="R1" s="194"/>
      <c r="S1" s="194"/>
      <c r="T1" s="194"/>
      <c r="U1" s="194"/>
      <c r="V1" s="195"/>
      <c r="W1" s="195"/>
      <c r="X1" s="194"/>
      <c r="Y1" s="194"/>
      <c r="Z1" s="194"/>
      <c r="AA1" s="194"/>
      <c r="AB1" s="194"/>
      <c r="AC1" s="194"/>
      <c r="AD1" s="194"/>
      <c r="AE1" s="194"/>
    </row>
    <row r="2" spans="1:33" ht="15.75">
      <c r="A2" s="1248" t="s">
        <v>847</v>
      </c>
      <c r="B2" s="1249"/>
      <c r="C2" s="1249"/>
      <c r="D2" s="1249"/>
      <c r="E2" s="1249"/>
      <c r="F2" s="1249"/>
      <c r="G2" s="1249"/>
      <c r="H2" s="1249"/>
      <c r="I2" s="1249"/>
      <c r="J2" s="1249"/>
      <c r="K2" s="1249"/>
      <c r="L2" s="1249"/>
      <c r="M2" s="1249"/>
      <c r="N2" s="1249"/>
      <c r="O2" s="1249"/>
      <c r="P2" s="1249"/>
      <c r="Q2" s="1249"/>
      <c r="R2" s="1249"/>
      <c r="S2" s="1249"/>
      <c r="T2" s="1249"/>
      <c r="U2" s="1249"/>
      <c r="V2" s="1249"/>
      <c r="W2" s="1249"/>
      <c r="X2" s="1249"/>
      <c r="Y2" s="1249"/>
      <c r="Z2" s="1249"/>
      <c r="AA2" s="1249"/>
      <c r="AB2" s="1249"/>
      <c r="AC2" s="1249"/>
      <c r="AD2" s="1249"/>
      <c r="AE2" s="1249"/>
      <c r="AF2" s="1249"/>
      <c r="AG2" s="1250"/>
    </row>
    <row r="4" spans="1:33" ht="19.5" customHeight="1">
      <c r="A4" s="1224" t="s">
        <v>253</v>
      </c>
      <c r="B4" s="1224" t="s">
        <v>242</v>
      </c>
      <c r="C4" s="1224" t="s">
        <v>254</v>
      </c>
      <c r="D4" s="1224" t="s">
        <v>243</v>
      </c>
      <c r="E4" s="1224" t="s">
        <v>255</v>
      </c>
      <c r="F4" s="1229" t="s">
        <v>34</v>
      </c>
      <c r="G4" s="1235" t="s">
        <v>36</v>
      </c>
      <c r="H4" s="1236"/>
      <c r="I4" s="1231" t="s">
        <v>47</v>
      </c>
      <c r="J4" s="1239"/>
      <c r="K4" s="1239"/>
      <c r="L4" s="1239"/>
      <c r="M4" s="1236"/>
      <c r="N4" s="1231" t="s">
        <v>40</v>
      </c>
      <c r="O4" s="1232"/>
      <c r="P4" s="1231" t="s">
        <v>244</v>
      </c>
      <c r="Q4" s="1239"/>
      <c r="R4" s="1236"/>
      <c r="S4" s="1241" t="s">
        <v>245</v>
      </c>
      <c r="T4" s="1242"/>
      <c r="U4" s="1252" t="s">
        <v>256</v>
      </c>
      <c r="V4" s="1253" t="s">
        <v>257</v>
      </c>
      <c r="W4" s="1254" t="s">
        <v>258</v>
      </c>
      <c r="X4" s="1245" t="s">
        <v>259</v>
      </c>
      <c r="Y4" s="1246"/>
      <c r="Z4" s="1246"/>
      <c r="AA4" s="1246"/>
      <c r="AB4" s="1246"/>
      <c r="AC4" s="1246"/>
      <c r="AD4" s="1246"/>
      <c r="AE4" s="1247"/>
      <c r="AF4" s="1229" t="s">
        <v>249</v>
      </c>
      <c r="AG4" s="1229" t="s">
        <v>555</v>
      </c>
    </row>
    <row r="5" spans="1:33" ht="19.5" customHeight="1">
      <c r="A5" s="1225"/>
      <c r="B5" s="1225"/>
      <c r="C5" s="1225"/>
      <c r="D5" s="1225"/>
      <c r="E5" s="1225"/>
      <c r="F5" s="1230"/>
      <c r="G5" s="1237"/>
      <c r="H5" s="1238"/>
      <c r="I5" s="1237"/>
      <c r="J5" s="1240"/>
      <c r="K5" s="1240"/>
      <c r="L5" s="1240"/>
      <c r="M5" s="1238"/>
      <c r="N5" s="1233"/>
      <c r="O5" s="1234"/>
      <c r="P5" s="198" t="s">
        <v>260</v>
      </c>
      <c r="Q5" s="198" t="s">
        <v>261</v>
      </c>
      <c r="R5" s="199" t="s">
        <v>4</v>
      </c>
      <c r="S5" s="1243"/>
      <c r="T5" s="1244"/>
      <c r="U5" s="1251"/>
      <c r="V5" s="1253"/>
      <c r="W5" s="1255"/>
      <c r="X5" s="1226" t="s">
        <v>246</v>
      </c>
      <c r="Y5" s="1227"/>
      <c r="Z5" s="1228"/>
      <c r="AA5" s="1226" t="s">
        <v>247</v>
      </c>
      <c r="AB5" s="1227"/>
      <c r="AC5" s="1228"/>
      <c r="AD5" s="1226" t="s">
        <v>248</v>
      </c>
      <c r="AE5" s="1228"/>
      <c r="AF5" s="1251"/>
      <c r="AG5" s="1251"/>
    </row>
    <row r="6" spans="1:33" ht="37.5" customHeight="1">
      <c r="A6" s="199">
        <v>1</v>
      </c>
      <c r="B6" s="436" t="s">
        <v>32</v>
      </c>
      <c r="C6" s="199" t="s">
        <v>32</v>
      </c>
      <c r="D6" s="199" t="s">
        <v>437</v>
      </c>
      <c r="E6" s="200" t="s">
        <v>222</v>
      </c>
      <c r="F6" s="201">
        <v>1500</v>
      </c>
      <c r="G6" s="202">
        <v>30</v>
      </c>
      <c r="H6" s="202">
        <v>30</v>
      </c>
      <c r="I6" s="190">
        <v>200</v>
      </c>
      <c r="J6" s="190">
        <v>750</v>
      </c>
      <c r="K6" s="278">
        <f>IF(E6="L",(J6*2),IF(E6="T",(J6*2),IF(E6="C",(I6),IF(E6="R",(J6),IF(E6="S",(J6))))))</f>
        <v>750</v>
      </c>
      <c r="L6" s="190">
        <v>50</v>
      </c>
      <c r="M6" s="566">
        <v>3.6</v>
      </c>
      <c r="N6" s="203">
        <v>20</v>
      </c>
      <c r="O6" s="191">
        <v>415</v>
      </c>
      <c r="P6" s="204">
        <f>IF(E6="C",(F6*1000)/(N6*I6*I6),(F6*1000)/(N6*I6*K6))</f>
        <v>0.5</v>
      </c>
      <c r="Q6" s="204">
        <f>IF(E6="C",(IF(ABS(G6)&gt;ABS(H6),(ABS(G6)*1000000)/(N6*I6*I6*I6),(ABS(H6)*1000000)/(N6*I6*I6*I6))),IF(ABS(G6)&gt;ABS(H6),(ABS(G6)*1000000)/(N6*I6*K6*K6),(ABS(H6)*1000000)/(N6*I6*K6*K6)))</f>
        <v>0.013333333333333334</v>
      </c>
      <c r="R6" s="205">
        <f>IF((L6/K6)&lt;=0.05,0.05,IF((L6/K6)&lt;=0.1,0.1,IF((L6/K6)&lt;=0.15,0.15,IF((L6/K6)&lt;=0.2,0.2))))</f>
        <v>0.1</v>
      </c>
      <c r="S6" s="206">
        <v>0.02</v>
      </c>
      <c r="T6" s="567">
        <f>(IF(S6="below min",(0.008),IF(S6="above max","-",IF(S6="","",(S6*N6)))))</f>
        <v>0.4</v>
      </c>
      <c r="U6" s="207">
        <f>IF(T6="-","-",IF(E6="C",((T6*(PI()/4)*I6*I6)/100),(T6*I6*K6)/100))</f>
        <v>600</v>
      </c>
      <c r="V6" s="564" t="str">
        <f>IF(E6="C",(IF((U6&gt;(0.04*(PI()/4)*I6*I6)),"Over Reinforced",IF((U6&lt;(0.008*(PI()/4)*I6*I6)),"Ast less than min Ast req.","Ast OK"))),IF(U6&gt;(0.04*I6*K6),"Over Reinforced",IF(U6&lt;(0.008*I6*K6),"Ast less than min Ast req.","Ast OK")))</f>
        <v>Ast less than min Ast req.</v>
      </c>
      <c r="W6" s="208">
        <f>IF(V6="Over Reinforced","Over Reinforced",IF(E6="c",IF(U6&lt;(0.008*(PI()/4)*I6*I6),(0.008*(PI()/4)*I6*I6),U6),IF(U6&lt;(0.008*I6*K6),(0.008*I6*K6),U6)))</f>
        <v>1200</v>
      </c>
      <c r="X6" s="209">
        <v>4</v>
      </c>
      <c r="Y6" s="190">
        <v>12</v>
      </c>
      <c r="Z6" s="207">
        <f>IF(Y6="","",(((PI()/4)*Y6*Y6)*X6))</f>
        <v>452.3893421169302</v>
      </c>
      <c r="AA6" s="209">
        <v>2</v>
      </c>
      <c r="AB6" s="190">
        <v>12</v>
      </c>
      <c r="AC6" s="207">
        <f>IF(AA6="","",(((PI()/4)*AB6*AB6)*AA6))</f>
        <v>226.1946710584651</v>
      </c>
      <c r="AD6" s="210">
        <f>X6+AA6</f>
        <v>6</v>
      </c>
      <c r="AE6" s="207">
        <f>IF(AC6="",Z6,Z6+AC6)</f>
        <v>678.5840131753953</v>
      </c>
      <c r="AF6" s="568" t="str">
        <f>IF(AE6&lt;W6,"Steel provided NOT OK","Steel provided OK")</f>
        <v>Steel provided NOT OK</v>
      </c>
      <c r="AG6" s="565"/>
    </row>
  </sheetData>
  <sheetProtection/>
  <protectedRanges>
    <protectedRange sqref="Y6 AB6" name="Inputs_2_1"/>
    <protectedRange sqref="N6" name="Inputs_1_1_1"/>
  </protectedRanges>
  <mergeCells count="21">
    <mergeCell ref="A2:AG2"/>
    <mergeCell ref="AG4:AG5"/>
    <mergeCell ref="U4:U5"/>
    <mergeCell ref="V4:V5"/>
    <mergeCell ref="W4:W5"/>
    <mergeCell ref="AF4:AF5"/>
    <mergeCell ref="A4:A5"/>
    <mergeCell ref="N4:O5"/>
    <mergeCell ref="G4:H5"/>
    <mergeCell ref="I4:M5"/>
    <mergeCell ref="S4:T5"/>
    <mergeCell ref="X4:AE4"/>
    <mergeCell ref="P4:R4"/>
    <mergeCell ref="C4:C5"/>
    <mergeCell ref="D4:D5"/>
    <mergeCell ref="B4:B5"/>
    <mergeCell ref="X5:Z5"/>
    <mergeCell ref="AA5:AC5"/>
    <mergeCell ref="AD5:AE5"/>
    <mergeCell ref="F4:F5"/>
    <mergeCell ref="E4:E5"/>
  </mergeCells>
  <conditionalFormatting sqref="AG6">
    <cfRule type="iconSet" priority="5" dxfId="0">
      <iconSet iconSet="3Symbols2">
        <cfvo type="percent" val="0"/>
        <cfvo type="percent" val="33"/>
        <cfvo type="formula" val="&quot;Steel Provided OK&quot;"/>
      </iconSet>
    </cfRule>
  </conditionalFormatting>
  <dataValidations count="4">
    <dataValidation type="list" showInputMessage="1" showErrorMessage="1" sqref="AB6 Y6">
      <formula1>"0,12,16,20,25"</formula1>
    </dataValidation>
    <dataValidation type="list" allowBlank="1" showInputMessage="1" showErrorMessage="1" sqref="O6">
      <formula1>"250,415,500"</formula1>
    </dataValidation>
    <dataValidation type="list" allowBlank="1" showInputMessage="1" showErrorMessage="1" sqref="N6">
      <formula1>"15,20,25,30,40"</formula1>
    </dataValidation>
    <dataValidation type="list" allowBlank="1" showInputMessage="1" showErrorMessage="1" sqref="E6">
      <formula1>"R,S,C,L,T"</formula1>
    </dataValidation>
  </dataValidations>
  <printOptions horizontalCentered="1"/>
  <pageMargins left="0.2" right="0" top="1.25" bottom="1.25" header="0" footer="0"/>
  <pageSetup orientation="landscape" paperSize="8" scale="73" r:id="rId1"/>
  <headerFooter>
    <oddFooter>&amp;L&amp;D&amp;CPage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X57"/>
  <sheetViews>
    <sheetView zoomScalePageLayoutView="0" workbookViewId="0" topLeftCell="A25">
      <selection activeCell="E20" sqref="E20"/>
    </sheetView>
  </sheetViews>
  <sheetFormatPr defaultColWidth="9.140625" defaultRowHeight="12.75"/>
  <cols>
    <col min="1" max="1" width="6.7109375" style="659" customWidth="1"/>
    <col min="2" max="2" width="4.140625" style="659" customWidth="1"/>
    <col min="3" max="3" width="14.7109375" style="658" customWidth="1"/>
    <col min="4" max="4" width="12.421875" style="658" customWidth="1"/>
    <col min="5" max="5" width="11.7109375" style="658" customWidth="1"/>
    <col min="6" max="6" width="7.8515625" style="658" customWidth="1"/>
    <col min="7" max="7" width="7.28125" style="658" customWidth="1"/>
    <col min="8" max="8" width="12.57421875" style="658" customWidth="1"/>
    <col min="9" max="9" width="7.7109375" style="658" customWidth="1"/>
    <col min="10" max="10" width="10.7109375" style="658" customWidth="1"/>
    <col min="11" max="11" width="3.00390625" style="658" customWidth="1"/>
    <col min="12" max="12" width="9.140625" style="658" customWidth="1"/>
    <col min="13" max="13" width="3.28125" style="658" customWidth="1"/>
    <col min="14" max="14" width="9.140625" style="658" customWidth="1"/>
    <col min="15" max="15" width="8.8515625" style="658" customWidth="1"/>
    <col min="16" max="16" width="8.57421875" style="658" customWidth="1"/>
    <col min="17" max="17" width="8.28125" style="658" customWidth="1"/>
    <col min="18" max="18" width="8.57421875" style="658" customWidth="1"/>
    <col min="19" max="19" width="8.421875" style="658" customWidth="1"/>
    <col min="20" max="20" width="9.140625" style="658" customWidth="1"/>
    <col min="21" max="21" width="6.7109375" style="658" customWidth="1"/>
    <col min="22" max="22" width="6.140625" style="658" customWidth="1"/>
    <col min="23" max="23" width="7.57421875" style="658" customWidth="1"/>
    <col min="24" max="24" width="4.140625" style="658" customWidth="1"/>
    <col min="25" max="28" width="9.140625" style="658" customWidth="1"/>
    <col min="29" max="29" width="10.140625" style="658" customWidth="1"/>
    <col min="30" max="30" width="10.00390625" style="658" bestFit="1" customWidth="1"/>
    <col min="31" max="31" width="11.28125" style="658" bestFit="1" customWidth="1"/>
    <col min="32" max="32" width="14.140625" style="658" bestFit="1" customWidth="1"/>
    <col min="33" max="16384" width="9.140625" style="658" customWidth="1"/>
  </cols>
  <sheetData>
    <row r="2" spans="2:13" s="696" customFormat="1" ht="15.75" customHeight="1">
      <c r="B2" s="1256" t="s">
        <v>78</v>
      </c>
      <c r="C2" s="1257"/>
      <c r="D2" s="1257"/>
      <c r="E2" s="1257"/>
      <c r="F2" s="1257"/>
      <c r="G2" s="1257"/>
      <c r="H2" s="1257"/>
      <c r="I2" s="1257"/>
      <c r="J2" s="1257"/>
      <c r="K2" s="1258"/>
      <c r="L2" s="873"/>
      <c r="M2" s="873"/>
    </row>
    <row r="3" spans="3:13" ht="14.25">
      <c r="C3" s="659"/>
      <c r="D3" s="659"/>
      <c r="E3" s="659"/>
      <c r="F3" s="659"/>
      <c r="G3" s="659"/>
      <c r="H3" s="659"/>
      <c r="I3" s="659"/>
      <c r="J3" s="857"/>
      <c r="K3" s="857"/>
      <c r="L3" s="659"/>
      <c r="M3" s="659"/>
    </row>
    <row r="4" spans="2:13" ht="14.25">
      <c r="B4" s="874"/>
      <c r="C4" s="662"/>
      <c r="D4" s="662"/>
      <c r="E4" s="662"/>
      <c r="F4" s="662"/>
      <c r="G4" s="662"/>
      <c r="H4" s="662"/>
      <c r="I4" s="662"/>
      <c r="J4" s="662"/>
      <c r="K4" s="894"/>
      <c r="L4" s="659"/>
      <c r="M4" s="659"/>
    </row>
    <row r="5" spans="2:11" ht="14.25">
      <c r="B5" s="876"/>
      <c r="C5" s="663" t="s">
        <v>266</v>
      </c>
      <c r="D5" s="665" t="s">
        <v>267</v>
      </c>
      <c r="E5" s="813">
        <v>150</v>
      </c>
      <c r="F5" s="664"/>
      <c r="G5" s="659"/>
      <c r="H5" s="663" t="s">
        <v>378</v>
      </c>
      <c r="I5" s="666"/>
      <c r="J5" s="667">
        <v>325</v>
      </c>
      <c r="K5" s="895"/>
    </row>
    <row r="6" spans="2:11" ht="14.25">
      <c r="B6" s="876"/>
      <c r="C6" s="665" t="s">
        <v>53</v>
      </c>
      <c r="D6" s="665" t="s">
        <v>41</v>
      </c>
      <c r="E6" s="814">
        <v>20</v>
      </c>
      <c r="F6" s="664"/>
      <c r="G6" s="664"/>
      <c r="H6" s="664"/>
      <c r="I6" s="664"/>
      <c r="J6" s="664"/>
      <c r="K6" s="895"/>
    </row>
    <row r="7" spans="2:11" ht="14.25">
      <c r="B7" s="876"/>
      <c r="C7" s="665" t="s">
        <v>54</v>
      </c>
      <c r="D7" s="665" t="s">
        <v>49</v>
      </c>
      <c r="E7" s="814">
        <v>415</v>
      </c>
      <c r="F7" s="664"/>
      <c r="G7" s="659"/>
      <c r="H7" s="659"/>
      <c r="I7" s="659"/>
      <c r="J7" s="659"/>
      <c r="K7" s="877"/>
    </row>
    <row r="8" spans="2:24" ht="14.25">
      <c r="B8" s="876"/>
      <c r="C8" s="664"/>
      <c r="D8" s="664"/>
      <c r="E8" s="664"/>
      <c r="F8" s="668"/>
      <c r="G8" s="669"/>
      <c r="H8" s="669"/>
      <c r="I8" s="664"/>
      <c r="J8" s="664"/>
      <c r="K8" s="895"/>
      <c r="M8" s="874"/>
      <c r="N8" s="661"/>
      <c r="O8" s="661"/>
      <c r="P8" s="661"/>
      <c r="Q8" s="661"/>
      <c r="R8" s="661"/>
      <c r="S8" s="661"/>
      <c r="T8" s="661"/>
      <c r="U8" s="661"/>
      <c r="V8" s="661"/>
      <c r="W8" s="661"/>
      <c r="X8" s="875"/>
    </row>
    <row r="9" spans="2:24" ht="14.25">
      <c r="B9" s="876"/>
      <c r="C9" s="671" t="s">
        <v>88</v>
      </c>
      <c r="D9" s="665"/>
      <c r="E9" s="670"/>
      <c r="F9" s="664"/>
      <c r="G9" s="664"/>
      <c r="H9" s="664"/>
      <c r="I9" s="664"/>
      <c r="J9" s="664"/>
      <c r="K9" s="895"/>
      <c r="M9" s="876"/>
      <c r="N9" s="886" t="s">
        <v>842</v>
      </c>
      <c r="O9" s="659"/>
      <c r="P9" s="659"/>
      <c r="Q9" s="659"/>
      <c r="R9" s="659"/>
      <c r="S9" s="659"/>
      <c r="T9" s="659"/>
      <c r="U9" s="659"/>
      <c r="V9" s="659"/>
      <c r="W9" s="659"/>
      <c r="X9" s="877"/>
    </row>
    <row r="10" spans="2:24" ht="14.25">
      <c r="B10" s="876"/>
      <c r="C10" s="816" t="s">
        <v>386</v>
      </c>
      <c r="D10" s="660"/>
      <c r="E10" s="660"/>
      <c r="F10" s="664"/>
      <c r="G10" s="659"/>
      <c r="H10" s="816" t="s">
        <v>385</v>
      </c>
      <c r="I10" s="660"/>
      <c r="J10" s="660"/>
      <c r="K10" s="877"/>
      <c r="M10" s="876"/>
      <c r="N10" s="659"/>
      <c r="O10" s="659"/>
      <c r="P10" s="659"/>
      <c r="Q10" s="659"/>
      <c r="R10" s="659"/>
      <c r="S10" s="659"/>
      <c r="T10" s="659"/>
      <c r="U10" s="659"/>
      <c r="V10" s="659"/>
      <c r="W10" s="659"/>
      <c r="X10" s="877"/>
    </row>
    <row r="11" spans="2:24" ht="14.25">
      <c r="B11" s="876"/>
      <c r="C11" s="672" t="s">
        <v>364</v>
      </c>
      <c r="D11" s="665" t="s">
        <v>375</v>
      </c>
      <c r="E11" s="673">
        <f>(E5/1000)*25</f>
        <v>3.75</v>
      </c>
      <c r="F11" s="771"/>
      <c r="G11" s="659"/>
      <c r="H11" s="672" t="s">
        <v>364</v>
      </c>
      <c r="I11" s="665" t="s">
        <v>375</v>
      </c>
      <c r="J11" s="843">
        <f>IF(J5="","",((E5/1000)*25))</f>
        <v>3.75</v>
      </c>
      <c r="K11" s="877"/>
      <c r="M11" s="876"/>
      <c r="N11" s="845" t="s">
        <v>61</v>
      </c>
      <c r="O11" s="845"/>
      <c r="P11" s="845"/>
      <c r="Q11" s="659"/>
      <c r="R11" s="659"/>
      <c r="S11" s="845" t="s">
        <v>62</v>
      </c>
      <c r="T11" s="845"/>
      <c r="U11" s="845"/>
      <c r="V11" s="659"/>
      <c r="W11" s="659"/>
      <c r="X11" s="877"/>
    </row>
    <row r="12" spans="2:24" ht="14.25" customHeight="1">
      <c r="B12" s="876"/>
      <c r="C12" s="672" t="s">
        <v>92</v>
      </c>
      <c r="D12" s="665" t="s">
        <v>376</v>
      </c>
      <c r="E12" s="858">
        <v>2</v>
      </c>
      <c r="F12" s="664"/>
      <c r="G12" s="659"/>
      <c r="H12" s="672" t="s">
        <v>379</v>
      </c>
      <c r="I12" s="665" t="s">
        <v>380</v>
      </c>
      <c r="J12" s="889">
        <f>(J5/1000)*14.2</f>
        <v>4.615</v>
      </c>
      <c r="K12" s="877"/>
      <c r="M12" s="876"/>
      <c r="N12" s="847" t="s">
        <v>7</v>
      </c>
      <c r="O12" s="690">
        <f>(0.87435*$E$7*$E$7)/($E$6*10000)</f>
        <v>0.75292464375</v>
      </c>
      <c r="P12" s="781" t="s">
        <v>790</v>
      </c>
      <c r="Q12" s="659"/>
      <c r="R12" s="659"/>
      <c r="S12" s="847" t="s">
        <v>7</v>
      </c>
      <c r="T12" s="690">
        <f>(0.87435*$E$7*$E$7)/($E$6*10000)</f>
        <v>0.75292464375</v>
      </c>
      <c r="U12" s="781" t="s">
        <v>790</v>
      </c>
      <c r="V12" s="659"/>
      <c r="W12" s="659"/>
      <c r="X12" s="877"/>
    </row>
    <row r="13" spans="2:24" ht="14.25">
      <c r="B13" s="876"/>
      <c r="C13" s="672" t="s">
        <v>845</v>
      </c>
      <c r="D13" s="665" t="s">
        <v>377</v>
      </c>
      <c r="E13" s="858">
        <v>1</v>
      </c>
      <c r="F13" s="664"/>
      <c r="G13" s="659"/>
      <c r="H13" s="672" t="s">
        <v>92</v>
      </c>
      <c r="I13" s="665" t="s">
        <v>376</v>
      </c>
      <c r="J13" s="859">
        <v>3</v>
      </c>
      <c r="K13" s="877"/>
      <c r="M13" s="876"/>
      <c r="N13" s="848" t="s">
        <v>0</v>
      </c>
      <c r="O13" s="691">
        <f>-(0.87*$E$7)/100</f>
        <v>-3.6105</v>
      </c>
      <c r="P13" s="781" t="s">
        <v>791</v>
      </c>
      <c r="Q13" s="659"/>
      <c r="R13" s="659"/>
      <c r="S13" s="848" t="s">
        <v>0</v>
      </c>
      <c r="T13" s="691">
        <f>-(0.87*$E$7)/100</f>
        <v>-3.6105</v>
      </c>
      <c r="U13" s="781" t="s">
        <v>791</v>
      </c>
      <c r="V13" s="659"/>
      <c r="W13" s="659"/>
      <c r="X13" s="877"/>
    </row>
    <row r="14" spans="2:24" ht="14.25">
      <c r="B14" s="876"/>
      <c r="C14" s="675" t="s">
        <v>95</v>
      </c>
      <c r="D14" s="676" t="s">
        <v>382</v>
      </c>
      <c r="E14" s="815">
        <f>SUM(E11:E13)</f>
        <v>6.75</v>
      </c>
      <c r="F14" s="664"/>
      <c r="G14" s="659"/>
      <c r="H14" s="672" t="s">
        <v>845</v>
      </c>
      <c r="I14" s="665" t="s">
        <v>377</v>
      </c>
      <c r="J14" s="859">
        <v>1</v>
      </c>
      <c r="K14" s="877"/>
      <c r="M14" s="876"/>
      <c r="N14" s="848" t="s">
        <v>59</v>
      </c>
      <c r="O14" s="691">
        <f>(D31*1000000)/(1000*($E$5-20)*($E$5-20))</f>
        <v>1.6542991863905327</v>
      </c>
      <c r="P14" s="781" t="s">
        <v>789</v>
      </c>
      <c r="Q14" s="659"/>
      <c r="R14" s="659"/>
      <c r="S14" s="848" t="s">
        <v>60</v>
      </c>
      <c r="T14" s="691" t="e">
        <f>(D32*1000000)/(1000*($E$5-20)*($E$5-20))</f>
        <v>#VALUE!</v>
      </c>
      <c r="U14" s="781" t="s">
        <v>789</v>
      </c>
      <c r="V14" s="659"/>
      <c r="W14" s="659"/>
      <c r="X14" s="877"/>
    </row>
    <row r="15" spans="2:24" ht="14.25">
      <c r="B15" s="876"/>
      <c r="C15" s="677" t="s">
        <v>96</v>
      </c>
      <c r="D15" s="678" t="s">
        <v>381</v>
      </c>
      <c r="E15" s="844">
        <f>1.5*E14</f>
        <v>10.125</v>
      </c>
      <c r="F15" s="664"/>
      <c r="G15" s="659"/>
      <c r="H15" s="675" t="s">
        <v>95</v>
      </c>
      <c r="I15" s="676" t="s">
        <v>383</v>
      </c>
      <c r="J15" s="679">
        <f>IF(J5="","",SUM(J11:J14))</f>
        <v>12.365</v>
      </c>
      <c r="K15" s="877"/>
      <c r="M15" s="876"/>
      <c r="N15" s="849" t="s">
        <v>57</v>
      </c>
      <c r="O15" s="691">
        <f>(-O13-SQRT((O13*O13)-(4*O12*O14)))/(2*O12)</f>
        <v>0.5130913031362403</v>
      </c>
      <c r="P15" s="781" t="s">
        <v>793</v>
      </c>
      <c r="Q15" s="659"/>
      <c r="R15" s="659"/>
      <c r="S15" s="849" t="s">
        <v>58</v>
      </c>
      <c r="T15" s="691" t="e">
        <f>(-T13-SQRT((O13*O13)-(4*T12*T14)))/(2*T12)</f>
        <v>#VALUE!</v>
      </c>
      <c r="U15" s="781" t="s">
        <v>793</v>
      </c>
      <c r="V15" s="659"/>
      <c r="W15" s="659"/>
      <c r="X15" s="877"/>
    </row>
    <row r="16" spans="2:24" ht="14.25">
      <c r="B16" s="876"/>
      <c r="C16" s="664"/>
      <c r="D16" s="664"/>
      <c r="E16" s="664"/>
      <c r="F16" s="664"/>
      <c r="G16" s="659"/>
      <c r="H16" s="677" t="s">
        <v>96</v>
      </c>
      <c r="I16" s="678" t="s">
        <v>384</v>
      </c>
      <c r="J16" s="844">
        <f>IF(J5="","",(1.5*J15))</f>
        <v>18.5475</v>
      </c>
      <c r="K16" s="877"/>
      <c r="M16" s="876"/>
      <c r="N16" s="850" t="s">
        <v>5</v>
      </c>
      <c r="O16" s="692">
        <f>(O15*1000*($E$5-20))/100</f>
        <v>667.0186940771124</v>
      </c>
      <c r="P16" s="781" t="s">
        <v>794</v>
      </c>
      <c r="Q16" s="659"/>
      <c r="R16" s="659"/>
      <c r="S16" s="850" t="s">
        <v>5</v>
      </c>
      <c r="T16" s="692" t="e">
        <f>(T15*1000*($E$5-20))/100</f>
        <v>#VALUE!</v>
      </c>
      <c r="U16" s="781" t="s">
        <v>794</v>
      </c>
      <c r="V16" s="659"/>
      <c r="W16" s="659"/>
      <c r="X16" s="877"/>
    </row>
    <row r="17" spans="2:24" ht="14.25">
      <c r="B17" s="876"/>
      <c r="C17" s="664"/>
      <c r="D17" s="664"/>
      <c r="E17" s="664"/>
      <c r="F17" s="664"/>
      <c r="G17" s="664"/>
      <c r="H17" s="664"/>
      <c r="I17" s="664"/>
      <c r="J17" s="664"/>
      <c r="K17" s="895"/>
      <c r="M17" s="876"/>
      <c r="N17" s="817"/>
      <c r="O17" s="659"/>
      <c r="P17" s="659"/>
      <c r="Q17" s="659"/>
      <c r="R17" s="817"/>
      <c r="S17" s="659"/>
      <c r="T17" s="659"/>
      <c r="U17" s="659"/>
      <c r="V17" s="659"/>
      <c r="W17" s="659"/>
      <c r="X17" s="877"/>
    </row>
    <row r="18" spans="2:24" ht="14.25">
      <c r="B18" s="876"/>
      <c r="C18" s="659"/>
      <c r="D18" s="659"/>
      <c r="E18" s="659"/>
      <c r="F18" s="659"/>
      <c r="G18" s="659"/>
      <c r="H18" s="659"/>
      <c r="I18" s="659"/>
      <c r="J18" s="659"/>
      <c r="K18" s="877"/>
      <c r="M18" s="876"/>
      <c r="N18" s="659"/>
      <c r="O18" s="659"/>
      <c r="P18" s="659"/>
      <c r="Q18" s="659"/>
      <c r="R18" s="659"/>
      <c r="S18" s="659"/>
      <c r="T18" s="659"/>
      <c r="U18" s="659"/>
      <c r="V18" s="659"/>
      <c r="W18" s="659"/>
      <c r="X18" s="877"/>
    </row>
    <row r="19" spans="1:24" s="681" customFormat="1" ht="14.25" customHeight="1">
      <c r="A19" s="812"/>
      <c r="B19" s="878"/>
      <c r="C19" s="817" t="s">
        <v>45</v>
      </c>
      <c r="D19" s="817"/>
      <c r="E19" s="817"/>
      <c r="F19" s="817"/>
      <c r="G19" s="817"/>
      <c r="H19" s="812"/>
      <c r="I19" s="812"/>
      <c r="J19" s="812"/>
      <c r="K19" s="879"/>
      <c r="M19" s="878"/>
      <c r="N19" s="819" t="s">
        <v>71</v>
      </c>
      <c r="O19" s="682" t="s">
        <v>270</v>
      </c>
      <c r="P19" s="682" t="s">
        <v>271</v>
      </c>
      <c r="Q19" s="659"/>
      <c r="R19" s="659"/>
      <c r="S19" s="659"/>
      <c r="T19" s="659"/>
      <c r="U19" s="659"/>
      <c r="V19" s="659"/>
      <c r="W19" s="659"/>
      <c r="X19" s="879"/>
    </row>
    <row r="20" spans="1:24" s="681" customFormat="1" ht="14.25">
      <c r="A20" s="812"/>
      <c r="B20" s="878"/>
      <c r="C20" s="847" t="s">
        <v>823</v>
      </c>
      <c r="D20" s="684" t="s">
        <v>822</v>
      </c>
      <c r="E20" s="812"/>
      <c r="F20" s="812"/>
      <c r="G20" s="812"/>
      <c r="H20" s="817"/>
      <c r="I20" s="812"/>
      <c r="J20" s="812"/>
      <c r="K20" s="879"/>
      <c r="M20" s="878"/>
      <c r="N20" s="820"/>
      <c r="O20" s="693">
        <f>0.12</f>
        <v>0.12</v>
      </c>
      <c r="P20" s="683">
        <f>(0.12*1000*$E$5)/100</f>
        <v>180</v>
      </c>
      <c r="Q20" s="659"/>
      <c r="R20" s="659"/>
      <c r="S20" s="659"/>
      <c r="T20" s="659"/>
      <c r="U20" s="659"/>
      <c r="V20" s="659"/>
      <c r="W20" s="659"/>
      <c r="X20" s="879"/>
    </row>
    <row r="21" spans="1:24" s="681" customFormat="1" ht="14.25">
      <c r="A21" s="812"/>
      <c r="B21" s="878"/>
      <c r="C21" s="848" t="s">
        <v>34</v>
      </c>
      <c r="D21" s="861">
        <f>IF(D20="Regular",E15,J16)</f>
        <v>10.125</v>
      </c>
      <c r="E21" s="668"/>
      <c r="F21" s="668"/>
      <c r="G21" s="668"/>
      <c r="H21" s="817"/>
      <c r="I21" s="812"/>
      <c r="J21" s="812"/>
      <c r="K21" s="879"/>
      <c r="M21" s="878"/>
      <c r="N21" s="659"/>
      <c r="O21" s="659"/>
      <c r="P21" s="659"/>
      <c r="Q21" s="659"/>
      <c r="R21" s="659"/>
      <c r="S21" s="659"/>
      <c r="T21" s="659"/>
      <c r="U21" s="659"/>
      <c r="V21" s="659"/>
      <c r="W21" s="659"/>
      <c r="X21" s="879"/>
    </row>
    <row r="22" spans="1:24" s="681" customFormat="1" ht="14.25">
      <c r="A22" s="812"/>
      <c r="B22" s="878"/>
      <c r="C22" s="848" t="s">
        <v>824</v>
      </c>
      <c r="D22" s="685">
        <v>9.5</v>
      </c>
      <c r="E22" s="812"/>
      <c r="F22" s="812"/>
      <c r="G22" s="812"/>
      <c r="H22" s="860" t="s">
        <v>829</v>
      </c>
      <c r="I22" s="882">
        <f>D22/D23</f>
        <v>2.021276595744681</v>
      </c>
      <c r="J22" s="812"/>
      <c r="K22" s="879"/>
      <c r="M22" s="878"/>
      <c r="N22" s="1266" t="s">
        <v>51</v>
      </c>
      <c r="O22" s="1266"/>
      <c r="P22" s="1266"/>
      <c r="Q22" s="1266"/>
      <c r="R22" s="1266"/>
      <c r="S22" s="1266"/>
      <c r="T22" s="659"/>
      <c r="U22" s="1263" t="s">
        <v>52</v>
      </c>
      <c r="V22" s="674">
        <v>1</v>
      </c>
      <c r="W22" s="674">
        <v>0.056</v>
      </c>
      <c r="X22" s="879"/>
    </row>
    <row r="23" spans="2:24" ht="13.5" customHeight="1">
      <c r="B23" s="876"/>
      <c r="C23" s="850" t="s">
        <v>825</v>
      </c>
      <c r="D23" s="685">
        <v>4.7</v>
      </c>
      <c r="E23" s="659"/>
      <c r="F23" s="659"/>
      <c r="G23" s="659"/>
      <c r="H23" s="680" t="s">
        <v>268</v>
      </c>
      <c r="I23" s="883" t="str">
        <f>IF(I22&lt;=2,"+","-")</f>
        <v>-</v>
      </c>
      <c r="J23" s="659"/>
      <c r="K23" s="877"/>
      <c r="M23" s="876"/>
      <c r="N23" s="682" t="s">
        <v>50</v>
      </c>
      <c r="O23" s="682"/>
      <c r="P23" s="682"/>
      <c r="Q23" s="818" t="s">
        <v>63</v>
      </c>
      <c r="R23" s="818"/>
      <c r="S23" s="818"/>
      <c r="T23" s="884" t="s">
        <v>64</v>
      </c>
      <c r="U23" s="1264"/>
      <c r="V23" s="674">
        <v>1.1</v>
      </c>
      <c r="W23" s="674">
        <v>0.064</v>
      </c>
      <c r="X23" s="877"/>
    </row>
    <row r="24" spans="2:24" ht="26.25" customHeight="1">
      <c r="B24" s="876"/>
      <c r="C24" s="659"/>
      <c r="D24" s="659"/>
      <c r="E24" s="659"/>
      <c r="F24" s="67"/>
      <c r="G24" s="659"/>
      <c r="H24" s="659"/>
      <c r="I24" s="659"/>
      <c r="J24" s="659"/>
      <c r="K24" s="877"/>
      <c r="L24" s="659"/>
      <c r="M24" s="876"/>
      <c r="N24" s="887" t="s">
        <v>272</v>
      </c>
      <c r="O24" s="887" t="s">
        <v>273</v>
      </c>
      <c r="P24" s="887" t="s">
        <v>274</v>
      </c>
      <c r="Q24" s="887" t="s">
        <v>272</v>
      </c>
      <c r="R24" s="887" t="s">
        <v>273</v>
      </c>
      <c r="S24" s="887" t="s">
        <v>844</v>
      </c>
      <c r="T24" s="885"/>
      <c r="U24" s="1264"/>
      <c r="V24" s="674">
        <v>1.2</v>
      </c>
      <c r="W24" s="674">
        <v>0.072</v>
      </c>
      <c r="X24" s="877"/>
    </row>
    <row r="25" spans="2:24" ht="14.25">
      <c r="B25" s="876"/>
      <c r="C25" s="659"/>
      <c r="D25" s="659"/>
      <c r="E25" s="659"/>
      <c r="F25" s="67"/>
      <c r="G25" s="659"/>
      <c r="H25" s="659"/>
      <c r="I25" s="659"/>
      <c r="J25" s="659"/>
      <c r="K25" s="877"/>
      <c r="L25" s="659"/>
      <c r="M25" s="876"/>
      <c r="N25" s="690" t="b">
        <f>IF(I22&lt;=1.1,1,IF(I22&lt;=1.2,1.1,IF(I22&lt;=1.3,1.2,IF(I22&lt;=1.4,1.3,IF(I22&lt;=1.5,1.4,IF(I22&lt;=1.75,1.5,IF(I22&lt;=2,1.75)))))))</f>
        <v>0</v>
      </c>
      <c r="O25" s="690" t="b">
        <f>IF(I22&lt;=1.1,1.1,IF(I22&lt;=1.2,1.2,IF(I22&lt;=1.3,1.3,IF(I22&lt;=1.4,1.4,IF(I22&lt;=1.5,1.5,IF(I22&lt;=1.75,1.75,IF(I22&lt;=2,2)))))))</f>
        <v>0</v>
      </c>
      <c r="P25" s="690">
        <f>I22</f>
        <v>2.021276595744681</v>
      </c>
      <c r="Q25" s="682" t="e">
        <f>VLOOKUP(N25,$V$22:$W$28,2)</f>
        <v>#N/A</v>
      </c>
      <c r="R25" s="682" t="e">
        <f>VLOOKUP(O25,$V$22:$W$28,2)</f>
        <v>#N/A</v>
      </c>
      <c r="S25" s="691" t="e">
        <f>Q25+((R25-Q25)*(P25-N25)/(O25-N25))</f>
        <v>#N/A</v>
      </c>
      <c r="T25" s="694">
        <f>0.056</f>
        <v>0.056</v>
      </c>
      <c r="U25" s="1264"/>
      <c r="V25" s="674">
        <v>1.3</v>
      </c>
      <c r="W25" s="674">
        <v>0.079</v>
      </c>
      <c r="X25" s="877"/>
    </row>
    <row r="26" spans="2:24" ht="14.25">
      <c r="B26" s="876"/>
      <c r="C26" s="817" t="s">
        <v>277</v>
      </c>
      <c r="D26" s="862"/>
      <c r="E26" s="869" t="s">
        <v>830</v>
      </c>
      <c r="F26" s="869" t="s">
        <v>831</v>
      </c>
      <c r="G26" s="659"/>
      <c r="H26" s="659"/>
      <c r="I26" s="659"/>
      <c r="J26" s="659"/>
      <c r="K26" s="877"/>
      <c r="L26" s="659"/>
      <c r="M26" s="876"/>
      <c r="N26" s="659"/>
      <c r="O26" s="659"/>
      <c r="P26" s="659"/>
      <c r="Q26" s="659"/>
      <c r="R26" s="659"/>
      <c r="S26" s="659"/>
      <c r="T26" s="659"/>
      <c r="U26" s="1264"/>
      <c r="V26" s="674">
        <v>1.4</v>
      </c>
      <c r="W26" s="674">
        <v>0.085</v>
      </c>
      <c r="X26" s="877"/>
    </row>
    <row r="27" spans="2:24" ht="15.75">
      <c r="B27" s="876"/>
      <c r="C27" s="867" t="s">
        <v>389</v>
      </c>
      <c r="D27" s="868">
        <f>IF(I22&lt;=2,(D21*D23/2)*(1-((1/3)*(D23/D22)^2)),(D21*D23/2))</f>
        <v>23.79375</v>
      </c>
      <c r="E27" s="869" t="s">
        <v>832</v>
      </c>
      <c r="F27" s="771" t="s">
        <v>834</v>
      </c>
      <c r="G27" s="659"/>
      <c r="H27" s="659"/>
      <c r="I27" s="659"/>
      <c r="J27" s="659"/>
      <c r="K27" s="877"/>
      <c r="L27" s="659"/>
      <c r="M27" s="876"/>
      <c r="N27" s="659"/>
      <c r="O27" s="659"/>
      <c r="P27" s="659"/>
      <c r="Q27" s="659"/>
      <c r="R27" s="659"/>
      <c r="S27" s="659"/>
      <c r="T27" s="659"/>
      <c r="U27" s="1264"/>
      <c r="V27" s="674">
        <v>1.5</v>
      </c>
      <c r="W27" s="674">
        <v>0.089</v>
      </c>
      <c r="X27" s="877"/>
    </row>
    <row r="28" spans="2:24" ht="15.75">
      <c r="B28" s="876"/>
      <c r="C28" s="865" t="s">
        <v>390</v>
      </c>
      <c r="D28" s="866">
        <f>IF(I22&lt;=2,(D21*D23/3),"")</f>
      </c>
      <c r="E28" s="659"/>
      <c r="F28" s="771" t="s">
        <v>833</v>
      </c>
      <c r="G28" s="659"/>
      <c r="H28" s="659"/>
      <c r="I28" s="659"/>
      <c r="J28" s="659"/>
      <c r="K28" s="877"/>
      <c r="L28" s="659"/>
      <c r="M28" s="876"/>
      <c r="N28" s="659"/>
      <c r="O28" s="659"/>
      <c r="P28" s="659"/>
      <c r="Q28" s="659"/>
      <c r="R28" s="659"/>
      <c r="S28" s="659"/>
      <c r="T28" s="659"/>
      <c r="U28" s="1265"/>
      <c r="V28" s="674">
        <v>2</v>
      </c>
      <c r="W28" s="674">
        <v>0.107</v>
      </c>
      <c r="X28" s="877"/>
    </row>
    <row r="29" spans="2:24" ht="14.25">
      <c r="B29" s="876"/>
      <c r="C29" s="659"/>
      <c r="D29" s="659"/>
      <c r="E29" s="659"/>
      <c r="F29" s="659"/>
      <c r="G29" s="659"/>
      <c r="H29" s="659"/>
      <c r="I29" s="659"/>
      <c r="J29" s="659"/>
      <c r="K29" s="877"/>
      <c r="L29" s="659"/>
      <c r="M29" s="876"/>
      <c r="N29" s="659"/>
      <c r="O29" s="659"/>
      <c r="P29" s="659"/>
      <c r="Q29" s="659"/>
      <c r="R29" s="659"/>
      <c r="S29" s="659"/>
      <c r="T29" s="659"/>
      <c r="U29" s="659"/>
      <c r="V29" s="659"/>
      <c r="W29" s="659"/>
      <c r="X29" s="877"/>
    </row>
    <row r="30" spans="2:24" ht="14.25">
      <c r="B30" s="876"/>
      <c r="C30" s="817" t="s">
        <v>55</v>
      </c>
      <c r="D30" s="862"/>
      <c r="E30" s="869" t="s">
        <v>830</v>
      </c>
      <c r="F30" s="869" t="s">
        <v>831</v>
      </c>
      <c r="G30" s="659"/>
      <c r="H30" s="659"/>
      <c r="I30" s="659"/>
      <c r="J30" s="659"/>
      <c r="K30" s="877"/>
      <c r="L30" s="659"/>
      <c r="M30" s="876"/>
      <c r="N30" s="853" t="s">
        <v>30</v>
      </c>
      <c r="O30" s="695">
        <f>(700/(1100+(0.87*E7)))*(E5-20)</f>
        <v>62.28397385441976</v>
      </c>
      <c r="P30" s="771" t="s">
        <v>782</v>
      </c>
      <c r="Q30" s="659"/>
      <c r="R30" s="659"/>
      <c r="S30" s="659"/>
      <c r="T30" s="659"/>
      <c r="U30" s="659"/>
      <c r="V30" s="659"/>
      <c r="W30" s="659"/>
      <c r="X30" s="877"/>
    </row>
    <row r="31" spans="2:24" ht="14.25">
      <c r="B31" s="876"/>
      <c r="C31" s="863" t="s">
        <v>56</v>
      </c>
      <c r="D31" s="864">
        <f>IF(I22&lt;=2,(S25*D21*D23^2),((D21*D23^2)/8))</f>
        <v>27.957656250000003</v>
      </c>
      <c r="E31" s="869" t="s">
        <v>835</v>
      </c>
      <c r="F31" s="869" t="s">
        <v>836</v>
      </c>
      <c r="G31" s="659"/>
      <c r="H31" s="659"/>
      <c r="I31" s="659"/>
      <c r="J31" s="659"/>
      <c r="K31" s="877"/>
      <c r="L31" s="659"/>
      <c r="M31" s="876"/>
      <c r="N31" s="848" t="s">
        <v>77</v>
      </c>
      <c r="O31" s="687">
        <f>((0.36*$E$6*1000*O30*(($E$5-20)-(0.416*O30))))/1000000</f>
        <v>46.67853993875843</v>
      </c>
      <c r="P31" s="771" t="s">
        <v>819</v>
      </c>
      <c r="Q31" s="659"/>
      <c r="R31" s="659"/>
      <c r="S31" s="659"/>
      <c r="T31" s="659"/>
      <c r="U31" s="659"/>
      <c r="V31" s="659"/>
      <c r="W31" s="659"/>
      <c r="X31" s="877"/>
    </row>
    <row r="32" spans="2:24" ht="14.25">
      <c r="B32" s="876"/>
      <c r="C32" s="863">
        <f>IF(I22&lt;=2,"My","")</f>
      </c>
      <c r="D32" s="864">
        <f>IF(I22&lt;=2,(T25*D21*D23^2),"")</f>
      </c>
      <c r="E32" s="659"/>
      <c r="F32" s="869" t="s">
        <v>837</v>
      </c>
      <c r="G32" s="659"/>
      <c r="H32" s="659"/>
      <c r="I32" s="659"/>
      <c r="J32" s="659"/>
      <c r="K32" s="877"/>
      <c r="M32" s="876"/>
      <c r="N32" s="851" t="s">
        <v>3</v>
      </c>
      <c r="O32" s="686">
        <f>(O31*1000000)/(1000*($E$5-20)^2)</f>
        <v>2.762043783358487</v>
      </c>
      <c r="P32" s="659"/>
      <c r="Q32" s="659"/>
      <c r="R32" s="659"/>
      <c r="S32" s="659"/>
      <c r="T32" s="659"/>
      <c r="U32" s="659"/>
      <c r="V32" s="659"/>
      <c r="W32" s="659"/>
      <c r="X32" s="877"/>
    </row>
    <row r="33" spans="2:24" ht="14.25">
      <c r="B33" s="876"/>
      <c r="C33" s="659"/>
      <c r="D33" s="659"/>
      <c r="E33" s="659"/>
      <c r="F33" s="659"/>
      <c r="G33" s="659"/>
      <c r="H33" s="659"/>
      <c r="I33" s="659"/>
      <c r="J33" s="659"/>
      <c r="K33" s="877"/>
      <c r="M33" s="876"/>
      <c r="N33" s="851" t="s">
        <v>69</v>
      </c>
      <c r="O33" s="686">
        <f>(D31*1000000)/(1000*($E$5-20)^2)</f>
        <v>1.6542991863905327</v>
      </c>
      <c r="P33" s="659"/>
      <c r="Q33" s="659"/>
      <c r="R33" s="659"/>
      <c r="S33" s="659"/>
      <c r="T33" s="659"/>
      <c r="U33" s="659"/>
      <c r="V33" s="659"/>
      <c r="W33" s="659"/>
      <c r="X33" s="877"/>
    </row>
    <row r="34" spans="2:24" ht="14.25">
      <c r="B34" s="876"/>
      <c r="C34" s="860" t="s">
        <v>269</v>
      </c>
      <c r="D34" s="870" t="str">
        <f>IF(O31&lt;MAX(D31:D32),"Increase","OK")</f>
        <v>OK</v>
      </c>
      <c r="E34" s="771" t="s">
        <v>841</v>
      </c>
      <c r="F34" s="869"/>
      <c r="G34" s="659"/>
      <c r="H34" s="659"/>
      <c r="I34" s="659"/>
      <c r="J34" s="659"/>
      <c r="K34" s="877"/>
      <c r="M34" s="876"/>
      <c r="N34" s="852" t="s">
        <v>70</v>
      </c>
      <c r="O34" s="686" t="e">
        <f>(D32*1000000)/(1000*($E$5-20)^2)</f>
        <v>#VALUE!</v>
      </c>
      <c r="P34" s="659"/>
      <c r="Q34" s="659"/>
      <c r="R34" s="659"/>
      <c r="S34" s="659"/>
      <c r="T34" s="659"/>
      <c r="U34" s="659"/>
      <c r="V34" s="659"/>
      <c r="W34" s="659"/>
      <c r="X34" s="877"/>
    </row>
    <row r="35" spans="2:24" ht="14.25">
      <c r="B35" s="876"/>
      <c r="C35" s="680" t="s">
        <v>743</v>
      </c>
      <c r="D35" s="871">
        <f>O38</f>
        <v>10.229342272982022</v>
      </c>
      <c r="E35" s="771" t="s">
        <v>828</v>
      </c>
      <c r="F35" s="659"/>
      <c r="G35" s="659"/>
      <c r="H35" s="659"/>
      <c r="I35" s="659"/>
      <c r="J35" s="659"/>
      <c r="K35" s="877"/>
      <c r="M35" s="876"/>
      <c r="N35" s="659"/>
      <c r="O35" s="659"/>
      <c r="P35" s="659"/>
      <c r="Q35" s="845"/>
      <c r="R35" s="845"/>
      <c r="S35" s="845"/>
      <c r="T35" s="845"/>
      <c r="U35" s="659"/>
      <c r="V35" s="659"/>
      <c r="W35" s="659"/>
      <c r="X35" s="877"/>
    </row>
    <row r="36" spans="2:24" ht="16.5" customHeight="1">
      <c r="B36" s="876"/>
      <c r="C36" s="659"/>
      <c r="D36" s="659"/>
      <c r="E36" s="659"/>
      <c r="F36" s="659"/>
      <c r="G36" s="659"/>
      <c r="H36" s="659"/>
      <c r="I36" s="659"/>
      <c r="J36" s="659"/>
      <c r="K36" s="877"/>
      <c r="M36" s="876"/>
      <c r="N36" s="854" t="s">
        <v>474</v>
      </c>
      <c r="O36" s="888">
        <f>5000*SQRT($E$6)*1000</f>
        <v>22360679.774997897</v>
      </c>
      <c r="P36" s="659"/>
      <c r="Q36" s="845"/>
      <c r="R36" s="845"/>
      <c r="S36" s="845"/>
      <c r="T36" s="845"/>
      <c r="U36" s="659"/>
      <c r="V36" s="659"/>
      <c r="W36" s="659"/>
      <c r="X36" s="877"/>
    </row>
    <row r="37" spans="2:24" ht="14.25">
      <c r="B37" s="876"/>
      <c r="C37" s="1269" t="s">
        <v>14</v>
      </c>
      <c r="D37" s="683" t="s">
        <v>65</v>
      </c>
      <c r="E37" s="683">
        <f>IF(I22&lt;=2,"Asty","")</f>
      </c>
      <c r="F37" s="771" t="s">
        <v>838</v>
      </c>
      <c r="G37" s="659"/>
      <c r="H37" s="659"/>
      <c r="I37" s="869" t="s">
        <v>584</v>
      </c>
      <c r="J37" s="659"/>
      <c r="K37" s="877"/>
      <c r="M37" s="876"/>
      <c r="N37" s="855" t="s">
        <v>217</v>
      </c>
      <c r="O37" s="888">
        <f>((1000*$E$5^3)/12)/1000000000000</f>
        <v>0.00028125</v>
      </c>
      <c r="P37" s="771" t="s">
        <v>827</v>
      </c>
      <c r="Q37" s="659"/>
      <c r="R37" s="659"/>
      <c r="S37" s="659"/>
      <c r="T37" s="659"/>
      <c r="U37" s="846"/>
      <c r="V37" s="846"/>
      <c r="W37" s="846"/>
      <c r="X37" s="877"/>
    </row>
    <row r="38" spans="2:24" ht="14.25" customHeight="1">
      <c r="B38" s="876"/>
      <c r="C38" s="1270"/>
      <c r="D38" s="688">
        <f>IF(O31&lt;MAX(D31:D32),"",IF(O15&lt;O20,P20,O16))</f>
        <v>667.0186940771124</v>
      </c>
      <c r="E38" s="688">
        <f>IF(I22&lt;=2,IF(T15&lt;O20,P20,T16),"")</f>
      </c>
      <c r="F38" s="771" t="s">
        <v>839</v>
      </c>
      <c r="G38" s="659"/>
      <c r="H38" s="659"/>
      <c r="I38" s="659"/>
      <c r="J38" s="659"/>
      <c r="K38" s="877"/>
      <c r="M38" s="876"/>
      <c r="N38" s="856" t="s">
        <v>846</v>
      </c>
      <c r="O38" s="693">
        <f>IF(I22&lt;2,((5*D21*D22^4)/(384*O36*O37)*1000),((5*D21*D23^4)/(384*O36*O37)*1000))</f>
        <v>10.229342272982022</v>
      </c>
      <c r="P38" s="771" t="s">
        <v>828</v>
      </c>
      <c r="Q38" s="659"/>
      <c r="R38" s="659"/>
      <c r="S38" s="659"/>
      <c r="T38" s="659"/>
      <c r="U38" s="846"/>
      <c r="V38" s="846"/>
      <c r="W38" s="846"/>
      <c r="X38" s="877"/>
    </row>
    <row r="39" spans="2:24" ht="14.25" customHeight="1">
      <c r="B39" s="876"/>
      <c r="C39" s="659"/>
      <c r="D39" s="659"/>
      <c r="E39" s="659"/>
      <c r="F39" s="659"/>
      <c r="G39" s="659"/>
      <c r="H39" s="659"/>
      <c r="I39" s="659"/>
      <c r="J39" s="659"/>
      <c r="K39" s="877"/>
      <c r="M39" s="880"/>
      <c r="N39" s="660"/>
      <c r="O39" s="660"/>
      <c r="P39" s="660"/>
      <c r="Q39" s="660"/>
      <c r="R39" s="660"/>
      <c r="S39" s="660"/>
      <c r="T39" s="660"/>
      <c r="U39" s="660"/>
      <c r="V39" s="660"/>
      <c r="W39" s="660"/>
      <c r="X39" s="881"/>
    </row>
    <row r="40" spans="2:11" ht="14.25">
      <c r="B40" s="876"/>
      <c r="C40" s="872" t="s">
        <v>388</v>
      </c>
      <c r="D40" s="872"/>
      <c r="E40" s="872"/>
      <c r="F40" s="872"/>
      <c r="G40" s="872"/>
      <c r="H40" s="872"/>
      <c r="I40" s="659"/>
      <c r="J40" s="659"/>
      <c r="K40" s="877"/>
    </row>
    <row r="41" spans="2:11" ht="14.25" customHeight="1">
      <c r="B41" s="876"/>
      <c r="C41" s="1261" t="s">
        <v>278</v>
      </c>
      <c r="D41" s="1261"/>
      <c r="E41" s="1261" t="s">
        <v>279</v>
      </c>
      <c r="F41" s="1261"/>
      <c r="G41" s="1261" t="s">
        <v>280</v>
      </c>
      <c r="H41" s="1261"/>
      <c r="I41" s="1267" t="s">
        <v>281</v>
      </c>
      <c r="J41" s="1268"/>
      <c r="K41" s="877"/>
    </row>
    <row r="42" spans="2:11" ht="14.25">
      <c r="B42" s="876"/>
      <c r="C42" s="682" t="s">
        <v>135</v>
      </c>
      <c r="D42" s="682" t="s">
        <v>136</v>
      </c>
      <c r="E42" s="682" t="s">
        <v>135</v>
      </c>
      <c r="F42" s="682" t="s">
        <v>136</v>
      </c>
      <c r="G42" s="682" t="s">
        <v>135</v>
      </c>
      <c r="H42" s="682" t="s">
        <v>136</v>
      </c>
      <c r="I42" s="682" t="s">
        <v>135</v>
      </c>
      <c r="J42" s="682" t="s">
        <v>135</v>
      </c>
      <c r="K42" s="877"/>
    </row>
    <row r="43" spans="2:11" ht="14.25">
      <c r="B43" s="876"/>
      <c r="C43" s="689">
        <f>IF(O31&lt;MAX(D27:D27),"",((((PI()*8^2)/4)/D38)*1000))</f>
        <v>75.35843133599734</v>
      </c>
      <c r="D43" s="689">
        <f>IF(I22&lt;=2,((((PI()*8^2)/4)/E38)*1000),"")</f>
      </c>
      <c r="E43" s="689">
        <f>IF(O31&lt;MAX(D27:D27),"",(((PI()*10^2)/4)/D38)*1000)</f>
        <v>117.74754896249586</v>
      </c>
      <c r="F43" s="689">
        <f>IF(I22&lt;=2,((((PI()*10^2)/4)/E38)*1000),"")</f>
      </c>
      <c r="G43" s="689">
        <f>IF(O31&lt;MAX(D27:D27),"",(((PI()*12^2)/4)/D38)*1000)</f>
        <v>169.556470505994</v>
      </c>
      <c r="H43" s="689">
        <f>IF(I22&lt;=2,((((PI()*12^2)/4)/E38)*1000),"")</f>
      </c>
      <c r="I43" s="689">
        <f>IF(O31&lt;MAX(D27:D27),"",(((PI()*16^2)/4)/D38)*1000)</f>
        <v>301.43372534398935</v>
      </c>
      <c r="J43" s="689">
        <f>IF(I22&lt;=2,((((PI()*16^2)/4)/E38)*1000),"")</f>
      </c>
      <c r="K43" s="877"/>
    </row>
    <row r="44" spans="2:11" ht="14.25">
      <c r="B44" s="876"/>
      <c r="C44" s="771" t="s">
        <v>840</v>
      </c>
      <c r="D44" s="890"/>
      <c r="E44" s="890"/>
      <c r="F44" s="890"/>
      <c r="G44" s="890"/>
      <c r="H44" s="890"/>
      <c r="I44" s="890"/>
      <c r="J44" s="890"/>
      <c r="K44" s="796"/>
    </row>
    <row r="45" spans="2:11" ht="14.25">
      <c r="B45" s="876"/>
      <c r="C45" s="659"/>
      <c r="D45" s="659"/>
      <c r="E45" s="659"/>
      <c r="F45" s="659"/>
      <c r="G45" s="659"/>
      <c r="H45" s="659"/>
      <c r="I45" s="659"/>
      <c r="J45" s="659"/>
      <c r="K45" s="877"/>
    </row>
    <row r="46" spans="2:14" ht="16.5" customHeight="1">
      <c r="B46" s="876"/>
      <c r="C46" s="1259" t="s">
        <v>843</v>
      </c>
      <c r="D46" s="1261" t="s">
        <v>135</v>
      </c>
      <c r="E46" s="1261"/>
      <c r="F46" s="1261" t="s">
        <v>136</v>
      </c>
      <c r="G46" s="1261"/>
      <c r="H46" s="1261"/>
      <c r="I46" s="659"/>
      <c r="J46" s="659"/>
      <c r="K46" s="877"/>
      <c r="N46" s="658" t="s">
        <v>950</v>
      </c>
    </row>
    <row r="47" spans="2:11" ht="14.25">
      <c r="B47" s="876"/>
      <c r="C47" s="1260"/>
      <c r="D47" s="1262"/>
      <c r="E47" s="1262"/>
      <c r="F47" s="1262"/>
      <c r="G47" s="1262"/>
      <c r="H47" s="1262"/>
      <c r="I47" s="659"/>
      <c r="J47" s="659"/>
      <c r="K47" s="877"/>
    </row>
    <row r="48" spans="2:11" ht="14.25">
      <c r="B48" s="880"/>
      <c r="C48" s="660"/>
      <c r="D48" s="660"/>
      <c r="E48" s="660"/>
      <c r="F48" s="660"/>
      <c r="G48" s="660"/>
      <c r="H48" s="660"/>
      <c r="I48" s="660"/>
      <c r="J48" s="660"/>
      <c r="K48" s="881"/>
    </row>
    <row r="51" ht="14.25">
      <c r="X51" s="659"/>
    </row>
    <row r="52" ht="14.25">
      <c r="X52" s="659"/>
    </row>
    <row r="53" ht="14.25">
      <c r="X53" s="659"/>
    </row>
    <row r="54" spans="14:24" ht="14.25">
      <c r="N54" s="838"/>
      <c r="O54" s="823"/>
      <c r="P54" s="659"/>
      <c r="Q54" s="659"/>
      <c r="R54" s="659"/>
      <c r="S54" s="659"/>
      <c r="T54" s="659"/>
      <c r="U54" s="659"/>
      <c r="V54" s="659"/>
      <c r="W54" s="659"/>
      <c r="X54" s="659"/>
    </row>
    <row r="55" spans="14:24" ht="14.25">
      <c r="N55" s="838"/>
      <c r="O55" s="824"/>
      <c r="P55" s="771"/>
      <c r="Q55" s="659"/>
      <c r="R55" s="659"/>
      <c r="S55" s="659"/>
      <c r="T55" s="659"/>
      <c r="U55" s="659"/>
      <c r="V55" s="659"/>
      <c r="W55" s="659"/>
      <c r="X55" s="659"/>
    </row>
    <row r="56" spans="14:24" ht="14.25">
      <c r="N56" s="838"/>
      <c r="O56" s="822"/>
      <c r="P56" s="771"/>
      <c r="Q56" s="659"/>
      <c r="R56" s="659"/>
      <c r="S56" s="659"/>
      <c r="T56" s="659"/>
      <c r="U56" s="659"/>
      <c r="V56" s="659"/>
      <c r="W56" s="659"/>
      <c r="X56" s="659"/>
    </row>
    <row r="57" spans="21:24" ht="14.25">
      <c r="U57" s="659"/>
      <c r="V57" s="659"/>
      <c r="W57" s="659"/>
      <c r="X57" s="659"/>
    </row>
  </sheetData>
  <sheetProtection/>
  <protectedRanges>
    <protectedRange sqref="E5:E7 D5 H22:I22 F8:G8 C22:D23 C21:G21 I23 C27:D28" name="Inputs"/>
  </protectedRanges>
  <mergeCells count="13">
    <mergeCell ref="U22:U28"/>
    <mergeCell ref="N22:S22"/>
    <mergeCell ref="C41:D41"/>
    <mergeCell ref="E41:F41"/>
    <mergeCell ref="G41:H41"/>
    <mergeCell ref="I41:J41"/>
    <mergeCell ref="C37:C38"/>
    <mergeCell ref="B2:K2"/>
    <mergeCell ref="C46:C47"/>
    <mergeCell ref="D46:E46"/>
    <mergeCell ref="D47:E47"/>
    <mergeCell ref="F46:H46"/>
    <mergeCell ref="F47:H47"/>
  </mergeCells>
  <dataValidations count="3">
    <dataValidation type="list" allowBlank="1" showInputMessage="1" showErrorMessage="1" sqref="D20">
      <formula1>"Regular,Sunken"</formula1>
    </dataValidation>
    <dataValidation type="list" allowBlank="1" showInputMessage="1" showErrorMessage="1" sqref="E6">
      <formula1>"15,20,25,30"</formula1>
    </dataValidation>
    <dataValidation type="list" allowBlank="1" showInputMessage="1" showErrorMessage="1" sqref="E7">
      <formula1>"250,415,500"</formula1>
    </dataValidation>
  </dataValidations>
  <printOptions/>
  <pageMargins left="0.7" right="0.45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Z35"/>
  <sheetViews>
    <sheetView zoomScalePageLayoutView="0" workbookViewId="0" topLeftCell="A4">
      <selection activeCell="B2" sqref="B2:N2"/>
    </sheetView>
  </sheetViews>
  <sheetFormatPr defaultColWidth="9.140625" defaultRowHeight="12.75"/>
  <cols>
    <col min="1" max="1" width="9.140625" style="1058" customWidth="1"/>
    <col min="2" max="2" width="5.140625" style="1058" customWidth="1"/>
    <col min="3" max="4" width="9.57421875" style="1058" customWidth="1"/>
    <col min="5" max="5" width="10.7109375" style="1058" customWidth="1"/>
    <col min="6" max="13" width="9.140625" style="1058" customWidth="1"/>
    <col min="14" max="14" width="12.7109375" style="1058" customWidth="1"/>
    <col min="15" max="15" width="10.8515625" style="1058" customWidth="1"/>
    <col min="16" max="16" width="11.8515625" style="1058" customWidth="1"/>
    <col min="17" max="17" width="7.00390625" style="1058" customWidth="1"/>
    <col min="18" max="18" width="7.57421875" style="1058" customWidth="1"/>
    <col min="19" max="19" width="7.28125" style="1058" customWidth="1"/>
    <col min="20" max="22" width="7.140625" style="1058" bestFit="1" customWidth="1"/>
    <col min="23" max="49" width="9.140625" style="1058" customWidth="1"/>
    <col min="50" max="50" width="10.00390625" style="1058" bestFit="1" customWidth="1"/>
    <col min="51" max="51" width="11.28125" style="1058" bestFit="1" customWidth="1"/>
    <col min="52" max="52" width="14.140625" style="1058" bestFit="1" customWidth="1"/>
    <col min="53" max="16384" width="9.140625" style="1058" customWidth="1"/>
  </cols>
  <sheetData>
    <row r="1" ht="15"/>
    <row r="2" spans="2:14" ht="15">
      <c r="B2" s="1318" t="s">
        <v>958</v>
      </c>
      <c r="C2" s="1319"/>
      <c r="D2" s="1319"/>
      <c r="E2" s="1319"/>
      <c r="F2" s="1319"/>
      <c r="G2" s="1319"/>
      <c r="H2" s="1319"/>
      <c r="I2" s="1319"/>
      <c r="J2" s="1319"/>
      <c r="K2" s="1319"/>
      <c r="L2" s="1319"/>
      <c r="M2" s="1319"/>
      <c r="N2" s="1320"/>
    </row>
    <row r="3" ht="15"/>
    <row r="4" spans="2:20" ht="15">
      <c r="B4" s="1095" t="s">
        <v>266</v>
      </c>
      <c r="C4" s="1095"/>
      <c r="D4" s="1095"/>
      <c r="E4" s="1095"/>
      <c r="F4" s="1096"/>
      <c r="G4" s="1097" t="s">
        <v>267</v>
      </c>
      <c r="H4" s="1317">
        <v>150</v>
      </c>
      <c r="I4" s="1317"/>
      <c r="J4" s="1098"/>
      <c r="K4" s="1098"/>
      <c r="L4" s="1098"/>
      <c r="M4" s="1098"/>
      <c r="N4" s="1098"/>
      <c r="O4" s="1098"/>
      <c r="P4" s="1098"/>
      <c r="Q4" s="1098"/>
      <c r="R4" s="1098"/>
      <c r="S4" s="1098"/>
      <c r="T4" s="1098"/>
    </row>
    <row r="5" spans="2:20" ht="15">
      <c r="B5" s="1097" t="s">
        <v>53</v>
      </c>
      <c r="C5" s="1097"/>
      <c r="D5" s="1097"/>
      <c r="E5" s="1095"/>
      <c r="F5" s="1096"/>
      <c r="G5" s="1097" t="s">
        <v>41</v>
      </c>
      <c r="H5" s="1321">
        <v>20</v>
      </c>
      <c r="I5" s="1321"/>
      <c r="J5" s="1098"/>
      <c r="K5" s="1098"/>
      <c r="L5" s="1098"/>
      <c r="M5" s="1098"/>
      <c r="N5" s="1098"/>
      <c r="O5" s="1098"/>
      <c r="P5" s="1098"/>
      <c r="Q5" s="1098"/>
      <c r="R5" s="1098"/>
      <c r="S5" s="1098"/>
      <c r="T5" s="1098"/>
    </row>
    <row r="6" spans="2:20" ht="15">
      <c r="B6" s="1097" t="s">
        <v>54</v>
      </c>
      <c r="C6" s="1097"/>
      <c r="D6" s="1097"/>
      <c r="E6" s="1095"/>
      <c r="F6" s="1096"/>
      <c r="G6" s="1097" t="s">
        <v>49</v>
      </c>
      <c r="H6" s="1321">
        <v>415</v>
      </c>
      <c r="I6" s="1321"/>
      <c r="J6" s="1098"/>
      <c r="K6" s="1095" t="s">
        <v>378</v>
      </c>
      <c r="L6" s="1062"/>
      <c r="M6" s="1093">
        <v>450</v>
      </c>
      <c r="O6" s="1098"/>
      <c r="P6" s="1098"/>
      <c r="Q6" s="1098"/>
      <c r="R6" s="1098"/>
      <c r="S6" s="1098"/>
      <c r="T6" s="1098"/>
    </row>
    <row r="7" spans="2:43" ht="15">
      <c r="B7" s="1099" t="s">
        <v>88</v>
      </c>
      <c r="C7" s="1099"/>
      <c r="D7" s="1099"/>
      <c r="E7" s="1097"/>
      <c r="F7" s="1100"/>
      <c r="G7" s="1098"/>
      <c r="H7" s="1098"/>
      <c r="I7" s="1098"/>
      <c r="J7" s="1098"/>
      <c r="K7" s="1098"/>
      <c r="L7" s="1098"/>
      <c r="M7" s="1098"/>
      <c r="N7" s="1098"/>
      <c r="O7" s="1098"/>
      <c r="P7" s="1098"/>
      <c r="Q7" s="1098"/>
      <c r="R7" s="1098"/>
      <c r="S7" s="1098"/>
      <c r="T7" s="1098"/>
      <c r="AO7" s="1063"/>
      <c r="AP7" s="1100"/>
      <c r="AQ7" s="1100"/>
    </row>
    <row r="8" spans="2:20" ht="15">
      <c r="B8" s="1064" t="s">
        <v>386</v>
      </c>
      <c r="C8" s="1064"/>
      <c r="D8" s="1064"/>
      <c r="J8" s="1098"/>
      <c r="K8" s="1064" t="s">
        <v>385</v>
      </c>
      <c r="Q8" s="1098"/>
      <c r="R8" s="1098"/>
      <c r="S8" s="1098"/>
      <c r="T8" s="1098"/>
    </row>
    <row r="9" spans="2:20" ht="15">
      <c r="B9" s="1101" t="s">
        <v>364</v>
      </c>
      <c r="C9" s="1101"/>
      <c r="D9" s="1101"/>
      <c r="G9" s="1097" t="s">
        <v>375</v>
      </c>
      <c r="H9" s="1312">
        <f>(H4/1000)*25</f>
        <v>3.75</v>
      </c>
      <c r="I9" s="1312"/>
      <c r="J9" s="1098"/>
      <c r="K9" s="1101" t="s">
        <v>364</v>
      </c>
      <c r="M9" s="1097" t="s">
        <v>375</v>
      </c>
      <c r="N9" s="1102">
        <f>IF(M6="","",((H4/1000)*25))</f>
        <v>3.75</v>
      </c>
      <c r="O9" s="1103"/>
      <c r="Q9" s="1098"/>
      <c r="R9" s="1098"/>
      <c r="S9" s="1098"/>
      <c r="T9" s="1098"/>
    </row>
    <row r="10" spans="2:44" ht="15">
      <c r="B10" s="1101" t="s">
        <v>92</v>
      </c>
      <c r="C10" s="1101"/>
      <c r="D10" s="1101"/>
      <c r="G10" s="1097" t="s">
        <v>376</v>
      </c>
      <c r="H10" s="1310">
        <v>3</v>
      </c>
      <c r="I10" s="1310"/>
      <c r="J10" s="1098"/>
      <c r="K10" s="1101" t="s">
        <v>379</v>
      </c>
      <c r="M10" s="1097" t="s">
        <v>380</v>
      </c>
      <c r="N10" s="1102">
        <f>(M6/1000)*14.2</f>
        <v>6.39</v>
      </c>
      <c r="O10" s="1104"/>
      <c r="Q10" s="1098"/>
      <c r="R10" s="1098"/>
      <c r="S10" s="1098"/>
      <c r="T10" s="1098"/>
      <c r="AP10" s="1307" t="s">
        <v>52</v>
      </c>
      <c r="AQ10" s="1065">
        <v>1</v>
      </c>
      <c r="AR10" s="1065">
        <v>0.056</v>
      </c>
    </row>
    <row r="11" spans="2:44" ht="15">
      <c r="B11" s="1101" t="s">
        <v>110</v>
      </c>
      <c r="C11" s="1101"/>
      <c r="D11" s="1101"/>
      <c r="G11" s="1097" t="s">
        <v>952</v>
      </c>
      <c r="H11" s="1310">
        <v>1</v>
      </c>
      <c r="I11" s="1310"/>
      <c r="J11" s="1098"/>
      <c r="K11" s="1101" t="s">
        <v>92</v>
      </c>
      <c r="M11" s="1097" t="s">
        <v>376</v>
      </c>
      <c r="N11" s="1105">
        <v>3</v>
      </c>
      <c r="O11" s="1106"/>
      <c r="Q11" s="1098"/>
      <c r="R11" s="1098"/>
      <c r="S11" s="1098"/>
      <c r="T11" s="1098"/>
      <c r="AP11" s="1308"/>
      <c r="AQ11" s="1065"/>
      <c r="AR11" s="1065"/>
    </row>
    <row r="12" spans="2:44" ht="15">
      <c r="B12" s="1101" t="s">
        <v>425</v>
      </c>
      <c r="C12" s="1101"/>
      <c r="D12" s="1101"/>
      <c r="G12" s="1097" t="s">
        <v>953</v>
      </c>
      <c r="H12" s="1311">
        <v>0</v>
      </c>
      <c r="I12" s="1311"/>
      <c r="J12" s="1098"/>
      <c r="K12" s="1101" t="s">
        <v>93</v>
      </c>
      <c r="M12" s="1097" t="s">
        <v>377</v>
      </c>
      <c r="N12" s="1105">
        <v>1</v>
      </c>
      <c r="O12" s="1106"/>
      <c r="Q12" s="1098"/>
      <c r="R12" s="1098"/>
      <c r="S12" s="1098"/>
      <c r="T12" s="1098"/>
      <c r="AP12" s="1308"/>
      <c r="AQ12" s="1065">
        <v>1.1</v>
      </c>
      <c r="AR12" s="1065">
        <v>0.064</v>
      </c>
    </row>
    <row r="13" spans="2:44" ht="15">
      <c r="B13" s="1107" t="s">
        <v>95</v>
      </c>
      <c r="C13" s="1107"/>
      <c r="D13" s="1107"/>
      <c r="E13" s="1061"/>
      <c r="F13" s="1061"/>
      <c r="G13" s="1108" t="s">
        <v>382</v>
      </c>
      <c r="H13" s="1312">
        <f>SUM(H9:H12)</f>
        <v>7.75</v>
      </c>
      <c r="I13" s="1312"/>
      <c r="J13" s="1098"/>
      <c r="K13" s="1107" t="s">
        <v>95</v>
      </c>
      <c r="L13" s="1061"/>
      <c r="M13" s="1108" t="s">
        <v>383</v>
      </c>
      <c r="N13" s="1109">
        <f>IF(M6="","",SUM(N9:N12))</f>
        <v>14.14</v>
      </c>
      <c r="O13" s="1110"/>
      <c r="Q13" s="1098"/>
      <c r="R13" s="1098"/>
      <c r="S13" s="1098"/>
      <c r="T13" s="1098"/>
      <c r="AP13" s="1308"/>
      <c r="AQ13" s="1065">
        <v>1.2</v>
      </c>
      <c r="AR13" s="1065">
        <v>0.072</v>
      </c>
    </row>
    <row r="14" spans="2:44" ht="15">
      <c r="B14" s="1111" t="s">
        <v>96</v>
      </c>
      <c r="C14" s="1111"/>
      <c r="D14" s="1111"/>
      <c r="E14" s="1060"/>
      <c r="F14" s="1060"/>
      <c r="G14" s="1112" t="s">
        <v>381</v>
      </c>
      <c r="H14" s="1313">
        <f>1.5*H13</f>
        <v>11.625</v>
      </c>
      <c r="I14" s="1313"/>
      <c r="J14" s="1098"/>
      <c r="K14" s="1111" t="s">
        <v>96</v>
      </c>
      <c r="L14" s="1060"/>
      <c r="M14" s="1112" t="s">
        <v>384</v>
      </c>
      <c r="N14" s="1113">
        <f>IF(M6="","",(1.5*N13))</f>
        <v>21.21</v>
      </c>
      <c r="O14" s="1110"/>
      <c r="Q14" s="1098"/>
      <c r="R14" s="1098"/>
      <c r="S14" s="1098"/>
      <c r="T14" s="1098"/>
      <c r="AP14" s="1308"/>
      <c r="AQ14" s="1065">
        <v>1.3</v>
      </c>
      <c r="AR14" s="1065">
        <v>0.079</v>
      </c>
    </row>
    <row r="15" spans="2:44" ht="15">
      <c r="B15" s="1098"/>
      <c r="C15" s="1098"/>
      <c r="D15" s="1098"/>
      <c r="E15" s="1098"/>
      <c r="F15" s="1098"/>
      <c r="G15" s="1098"/>
      <c r="H15" s="1098"/>
      <c r="I15" s="1098"/>
      <c r="J15" s="1098"/>
      <c r="Q15" s="1098"/>
      <c r="R15" s="1098"/>
      <c r="S15" s="1098"/>
      <c r="T15" s="1098"/>
      <c r="AP15" s="1308"/>
      <c r="AQ15" s="1065">
        <v>1.4</v>
      </c>
      <c r="AR15" s="1065">
        <v>0.085</v>
      </c>
    </row>
    <row r="16" spans="2:44" ht="15">
      <c r="B16" s="1098"/>
      <c r="C16" s="1098"/>
      <c r="D16" s="1098"/>
      <c r="E16" s="1098"/>
      <c r="F16" s="1098"/>
      <c r="G16" s="1098"/>
      <c r="H16" s="1098"/>
      <c r="I16" s="1098"/>
      <c r="J16" s="1098"/>
      <c r="P16" s="1098"/>
      <c r="Q16" s="1098"/>
      <c r="R16" s="1098"/>
      <c r="S16" s="1098"/>
      <c r="T16" s="1098"/>
      <c r="AP16" s="1308"/>
      <c r="AQ16" s="1065">
        <v>1.5</v>
      </c>
      <c r="AR16" s="1065">
        <v>0.089</v>
      </c>
    </row>
    <row r="17" spans="2:44" ht="15">
      <c r="B17" s="1114" t="s">
        <v>282</v>
      </c>
      <c r="C17" s="1114"/>
      <c r="D17" s="1114"/>
      <c r="E17" s="1114"/>
      <c r="F17" s="1114"/>
      <c r="G17" s="1114"/>
      <c r="H17" s="1114"/>
      <c r="I17" s="1114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AO17" s="1063"/>
      <c r="AP17" s="1308"/>
      <c r="AQ17" s="1065">
        <v>1.75</v>
      </c>
      <c r="AR17" s="1065">
        <v>0.1</v>
      </c>
    </row>
    <row r="18" spans="2:44" ht="15">
      <c r="B18" s="1059"/>
      <c r="C18" s="1059"/>
      <c r="D18" s="1059"/>
      <c r="E18" s="1059"/>
      <c r="F18" s="1059"/>
      <c r="G18" s="1059"/>
      <c r="H18" s="1059"/>
      <c r="I18" s="1059"/>
      <c r="J18" s="1059"/>
      <c r="K18" s="1059"/>
      <c r="AO18" s="1066"/>
      <c r="AP18" s="1309"/>
      <c r="AQ18" s="1065">
        <v>2</v>
      </c>
      <c r="AR18" s="1065">
        <v>0.107</v>
      </c>
    </row>
    <row r="19" spans="2:52" s="1067" customFormat="1" ht="15">
      <c r="B19" s="1115" t="s">
        <v>45</v>
      </c>
      <c r="C19" s="1116"/>
      <c r="D19" s="1116"/>
      <c r="E19" s="1116"/>
      <c r="F19" s="1116"/>
      <c r="G19" s="1117"/>
      <c r="H19" s="1272" t="s">
        <v>50</v>
      </c>
      <c r="I19" s="1304" t="s">
        <v>268</v>
      </c>
      <c r="J19" s="1295" t="s">
        <v>277</v>
      </c>
      <c r="K19" s="1296"/>
      <c r="L19" s="1295" t="s">
        <v>55</v>
      </c>
      <c r="M19" s="1296"/>
      <c r="N19" s="1314" t="s">
        <v>269</v>
      </c>
      <c r="O19" s="1295" t="s">
        <v>14</v>
      </c>
      <c r="P19" s="1296"/>
      <c r="Q19" s="1299" t="s">
        <v>388</v>
      </c>
      <c r="R19" s="1299"/>
      <c r="S19" s="1299"/>
      <c r="T19" s="1299"/>
      <c r="U19" s="1299"/>
      <c r="V19" s="1299"/>
      <c r="W19" s="1300" t="s">
        <v>391</v>
      </c>
      <c r="X19" s="1301"/>
      <c r="Y19" s="1304" t="s">
        <v>268</v>
      </c>
      <c r="Z19" s="1304" t="s">
        <v>427</v>
      </c>
      <c r="AA19" s="1272" t="s">
        <v>7</v>
      </c>
      <c r="AB19" s="1272" t="s">
        <v>0</v>
      </c>
      <c r="AC19" s="1282" t="s">
        <v>61</v>
      </c>
      <c r="AD19" s="1283"/>
      <c r="AE19" s="1284"/>
      <c r="AF19" s="1282" t="s">
        <v>62</v>
      </c>
      <c r="AG19" s="1283"/>
      <c r="AH19" s="1284"/>
      <c r="AI19" s="1285" t="s">
        <v>71</v>
      </c>
      <c r="AJ19" s="1286"/>
      <c r="AK19" s="1289" t="s">
        <v>51</v>
      </c>
      <c r="AL19" s="1290"/>
      <c r="AM19" s="1290"/>
      <c r="AN19" s="1290"/>
      <c r="AO19" s="1290"/>
      <c r="AP19" s="1291"/>
      <c r="AQ19" s="1292" t="s">
        <v>64</v>
      </c>
      <c r="AR19" s="1272" t="s">
        <v>77</v>
      </c>
      <c r="AS19" s="1275" t="s">
        <v>3</v>
      </c>
      <c r="AT19" s="1275" t="s">
        <v>31</v>
      </c>
      <c r="AU19" s="1275" t="s">
        <v>30</v>
      </c>
      <c r="AV19" s="1275" t="s">
        <v>69</v>
      </c>
      <c r="AW19" s="1275" t="s">
        <v>70</v>
      </c>
      <c r="AX19" s="1271" t="s">
        <v>474</v>
      </c>
      <c r="AY19" s="1271" t="s">
        <v>217</v>
      </c>
      <c r="AZ19" s="1271" t="s">
        <v>742</v>
      </c>
    </row>
    <row r="20" spans="2:52" s="1067" customFormat="1" ht="25.5">
      <c r="B20" s="1272" t="s">
        <v>741</v>
      </c>
      <c r="C20" s="1272" t="s">
        <v>428</v>
      </c>
      <c r="D20" s="1272" t="s">
        <v>358</v>
      </c>
      <c r="E20" s="1094" t="s">
        <v>34</v>
      </c>
      <c r="F20" s="1068" t="s">
        <v>265</v>
      </c>
      <c r="G20" s="1068" t="s">
        <v>264</v>
      </c>
      <c r="H20" s="1281"/>
      <c r="I20" s="1305"/>
      <c r="J20" s="1297"/>
      <c r="K20" s="1298"/>
      <c r="L20" s="1297"/>
      <c r="M20" s="1298"/>
      <c r="N20" s="1315"/>
      <c r="O20" s="1297"/>
      <c r="P20" s="1298"/>
      <c r="Q20" s="1274" t="s">
        <v>278</v>
      </c>
      <c r="R20" s="1274"/>
      <c r="S20" s="1274" t="s">
        <v>279</v>
      </c>
      <c r="T20" s="1274"/>
      <c r="U20" s="1274" t="s">
        <v>280</v>
      </c>
      <c r="V20" s="1274"/>
      <c r="W20" s="1302"/>
      <c r="X20" s="1303"/>
      <c r="Y20" s="1305"/>
      <c r="Z20" s="1305"/>
      <c r="AA20" s="1281"/>
      <c r="AB20" s="1281"/>
      <c r="AC20" s="1272" t="s">
        <v>59</v>
      </c>
      <c r="AD20" s="1278" t="s">
        <v>57</v>
      </c>
      <c r="AE20" s="1272" t="s">
        <v>5</v>
      </c>
      <c r="AF20" s="1272" t="s">
        <v>60</v>
      </c>
      <c r="AG20" s="1278" t="s">
        <v>58</v>
      </c>
      <c r="AH20" s="1272" t="s">
        <v>5</v>
      </c>
      <c r="AI20" s="1287"/>
      <c r="AJ20" s="1288"/>
      <c r="AK20" s="1274" t="s">
        <v>50</v>
      </c>
      <c r="AL20" s="1274"/>
      <c r="AM20" s="1274"/>
      <c r="AN20" s="1280" t="s">
        <v>63</v>
      </c>
      <c r="AO20" s="1280"/>
      <c r="AP20" s="1280"/>
      <c r="AQ20" s="1293"/>
      <c r="AR20" s="1273"/>
      <c r="AS20" s="1276"/>
      <c r="AT20" s="1276"/>
      <c r="AU20" s="1276"/>
      <c r="AV20" s="1276"/>
      <c r="AW20" s="1276"/>
      <c r="AX20" s="1271"/>
      <c r="AY20" s="1271"/>
      <c r="AZ20" s="1271"/>
    </row>
    <row r="21" spans="2:52" s="1067" customFormat="1" ht="15.75">
      <c r="B21" s="1273"/>
      <c r="C21" s="1273"/>
      <c r="D21" s="1273"/>
      <c r="E21" s="1094" t="s">
        <v>387</v>
      </c>
      <c r="F21" s="1094" t="s">
        <v>262</v>
      </c>
      <c r="G21" s="1094" t="s">
        <v>263</v>
      </c>
      <c r="H21" s="1273"/>
      <c r="I21" s="1306"/>
      <c r="J21" s="1094" t="s">
        <v>389</v>
      </c>
      <c r="K21" s="1094" t="s">
        <v>390</v>
      </c>
      <c r="L21" s="1069" t="s">
        <v>56</v>
      </c>
      <c r="M21" s="1069">
        <f>IF(H22&lt;=2,"My","")</f>
      </c>
      <c r="N21" s="1316"/>
      <c r="O21" s="1069" t="s">
        <v>65</v>
      </c>
      <c r="P21" s="1069">
        <f>IF(H22&lt;=2,"Asty","")</f>
      </c>
      <c r="Q21" s="1094" t="s">
        <v>135</v>
      </c>
      <c r="R21" s="1094" t="s">
        <v>136</v>
      </c>
      <c r="S21" s="1094" t="s">
        <v>135</v>
      </c>
      <c r="T21" s="1094" t="s">
        <v>136</v>
      </c>
      <c r="U21" s="1094" t="s">
        <v>135</v>
      </c>
      <c r="V21" s="1094" t="s">
        <v>136</v>
      </c>
      <c r="W21" s="1094" t="s">
        <v>135</v>
      </c>
      <c r="X21" s="1094" t="s">
        <v>136</v>
      </c>
      <c r="Y21" s="1306"/>
      <c r="Z21" s="1306"/>
      <c r="AA21" s="1273"/>
      <c r="AB21" s="1273"/>
      <c r="AC21" s="1273"/>
      <c r="AD21" s="1279"/>
      <c r="AE21" s="1273"/>
      <c r="AF21" s="1273"/>
      <c r="AG21" s="1279"/>
      <c r="AH21" s="1273"/>
      <c r="AI21" s="1094" t="s">
        <v>270</v>
      </c>
      <c r="AJ21" s="1118" t="s">
        <v>271</v>
      </c>
      <c r="AK21" s="1094" t="s">
        <v>272</v>
      </c>
      <c r="AL21" s="1094" t="s">
        <v>273</v>
      </c>
      <c r="AM21" s="1094" t="s">
        <v>274</v>
      </c>
      <c r="AN21" s="1094" t="s">
        <v>272</v>
      </c>
      <c r="AO21" s="1094" t="s">
        <v>273</v>
      </c>
      <c r="AP21" s="1094" t="s">
        <v>275</v>
      </c>
      <c r="AQ21" s="1294"/>
      <c r="AR21" s="1070" t="s">
        <v>276</v>
      </c>
      <c r="AS21" s="1277"/>
      <c r="AT21" s="1277"/>
      <c r="AU21" s="1277"/>
      <c r="AV21" s="1277"/>
      <c r="AW21" s="1277"/>
      <c r="AX21" s="1271"/>
      <c r="AY21" s="1271"/>
      <c r="AZ21" s="1271"/>
    </row>
    <row r="22" spans="2:52" s="1067" customFormat="1" ht="31.5">
      <c r="B22" s="1119">
        <v>1</v>
      </c>
      <c r="C22" s="1120" t="s">
        <v>822</v>
      </c>
      <c r="D22" s="1071">
        <v>150</v>
      </c>
      <c r="E22" s="1072">
        <v>12</v>
      </c>
      <c r="F22" s="1073">
        <v>7.2</v>
      </c>
      <c r="G22" s="1073">
        <v>3</v>
      </c>
      <c r="H22" s="1074">
        <f aca="true" t="shared" si="0" ref="H22:H30">F22/G22</f>
        <v>2.4</v>
      </c>
      <c r="I22" s="1075" t="str">
        <f aca="true" t="shared" si="1" ref="I22:I30">IF(H22&lt;=2,"+","-")</f>
        <v>-</v>
      </c>
      <c r="J22" s="1076">
        <f aca="true" t="shared" si="2" ref="J22:J30">IF(H22&lt;=2,(E22*G22/2)*(1-((1/3)*(G22/F22)^2)),(E22*G22/2))</f>
        <v>18</v>
      </c>
      <c r="K22" s="1076">
        <f aca="true" t="shared" si="3" ref="K22:K30">IF(H22&lt;=2,(E22*G22/3),"")</f>
      </c>
      <c r="L22" s="1077">
        <f aca="true" t="shared" si="4" ref="L22:L30">IF(H22&lt;=2,(AP22*E22*G22^2),((E22*G22^2)/8))</f>
        <v>13.5</v>
      </c>
      <c r="M22" s="1077">
        <f aca="true" t="shared" si="5" ref="M22:M30">IF(H22&lt;=2,(AQ22*E22*G22^2),"")</f>
      </c>
      <c r="N22" s="1078" t="str">
        <f aca="true" t="shared" si="6" ref="N22:N30">IF(AR22&lt;MAX(L22:M22),"Increase","OK")</f>
        <v>OK</v>
      </c>
      <c r="O22" s="1121">
        <f aca="true" t="shared" si="7" ref="O22:O30">IF(AR22&lt;MAX(L22:M22),"",IF(AD22&lt;AI22,AJ22,AE22))</f>
        <v>302.2801441215352</v>
      </c>
      <c r="P22" s="1121">
        <f aca="true" t="shared" si="8" ref="P22:P30">IF(H22&lt;=2,IF(AG22&lt;AI22,AJ22,AH22),"")</f>
      </c>
      <c r="Q22" s="1079">
        <f aca="true" t="shared" si="9" ref="Q22:Q30">IF(AR22&lt;MAX(J22:J22),"",((((PI()*8^2)/4)/O22)*1000))</f>
        <v>166.28774147079562</v>
      </c>
      <c r="R22" s="1079">
        <f aca="true" t="shared" si="10" ref="R22:R30">IF(H22&lt;=2,((((PI()*8^2)/4)/P22)*1000),"")</f>
      </c>
      <c r="S22" s="1079">
        <f aca="true" t="shared" si="11" ref="S22:S30">IF(AR22&lt;MAX(J22:J22),"",(((PI()*10^2)/4)/O22)*1000)</f>
        <v>259.82459604811817</v>
      </c>
      <c r="T22" s="1079">
        <f aca="true" t="shared" si="12" ref="T22:T30">IF(H22&lt;=2,((((PI()*10^2)/4)/P22)*1000),"")</f>
      </c>
      <c r="U22" s="1079">
        <f aca="true" t="shared" si="13" ref="U22:U30">IF(AR22&lt;MAX(J22:J22),"",(((PI()*12^2)/4)/O22)*1000)</f>
        <v>374.1474183092902</v>
      </c>
      <c r="V22" s="1079">
        <f aca="true" t="shared" si="14" ref="V22:V30">IF(H22&lt;=2,((((PI()*12^2)/4)/P22)*1000),"")</f>
      </c>
      <c r="W22" s="1079"/>
      <c r="X22" s="1079"/>
      <c r="Y22" s="1075" t="str">
        <f aca="true" t="shared" si="15" ref="Y22:Y30">I22</f>
        <v>-</v>
      </c>
      <c r="Z22" s="1080"/>
      <c r="AA22" s="1081">
        <f aca="true" t="shared" si="16" ref="AA22:AA35">(0.87435*$H$6*$H$6)/($H$5*10000)</f>
        <v>0.75292464375</v>
      </c>
      <c r="AB22" s="1082">
        <f aca="true" t="shared" si="17" ref="AB22:AB35">-(0.87*$H$6)/100</f>
        <v>-3.6105</v>
      </c>
      <c r="AC22" s="1082">
        <f aca="true" t="shared" si="18" ref="AC22:AC30">(L22*1000000)/(1000*(D22-20)*(D22-20))</f>
        <v>0.7988165680473372</v>
      </c>
      <c r="AD22" s="1082">
        <f aca="true" t="shared" si="19" ref="AD22:AD30">(-AB22-SQRT((AB22*AB22)-(4*AA22*AC22)))/(2*AA22)</f>
        <v>0.23252318778579634</v>
      </c>
      <c r="AE22" s="1083">
        <f aca="true" t="shared" si="20" ref="AE22:AE30">(AD22*1000*(D22-20))/100</f>
        <v>302.2801441215352</v>
      </c>
      <c r="AF22" s="1082" t="e">
        <f aca="true" t="shared" si="21" ref="AF22:AF30">(M22*1000000)/(1000*(D22-20)*($H$4-20))</f>
        <v>#VALUE!</v>
      </c>
      <c r="AG22" s="1082" t="e">
        <f aca="true" t="shared" si="22" ref="AG22:AG30">(-AB22-SQRT((AB22*AB22)-(4*AA22*AF22)))/(2*AA22)</f>
        <v>#VALUE!</v>
      </c>
      <c r="AH22" s="1083" t="e">
        <f aca="true" t="shared" si="23" ref="AH22:AH30">(AG22*1000*(D22-20))/100</f>
        <v>#VALUE!</v>
      </c>
      <c r="AI22" s="1084">
        <f aca="true" t="shared" si="24" ref="AI22:AI35">0.12</f>
        <v>0.12</v>
      </c>
      <c r="AJ22" s="1069">
        <f aca="true" t="shared" si="25" ref="AJ22:AJ30">(0.12*1000*D22)/100</f>
        <v>180</v>
      </c>
      <c r="AK22" s="1081" t="b">
        <f aca="true" t="shared" si="26" ref="AK22:AK30">IF(H22&lt;=1.1,1,IF(H22&lt;=1.2,1.1,IF(H22&lt;=1.3,1.2,IF(H22&lt;=1.4,1.3,IF(H22&lt;=1.5,1.4,IF(H22&lt;=1.75,1.5,IF(H22&lt;=2,1.75)))))))</f>
        <v>0</v>
      </c>
      <c r="AL22" s="1081" t="b">
        <f aca="true" t="shared" si="27" ref="AL22:AL30">IF(H22&lt;=1.1,1.1,IF(H22&lt;=1.2,1.2,IF(H22&lt;=1.3,1.3,IF(H22&lt;=1.4,1.4,IF(H22&lt;=1.5,1.5,IF(H22&lt;=1.75,1.75,IF(H22&lt;=2,2)))))))</f>
        <v>0</v>
      </c>
      <c r="AM22" s="1081">
        <f aca="true" t="shared" si="28" ref="AM22:AM30">H22</f>
        <v>2.4</v>
      </c>
      <c r="AN22" s="1094" t="e">
        <f aca="true" t="shared" si="29" ref="AN22:AO33">VLOOKUP(AK22,$AQ$10:$AR$18,2)</f>
        <v>#N/A</v>
      </c>
      <c r="AO22" s="1094" t="e">
        <f t="shared" si="29"/>
        <v>#N/A</v>
      </c>
      <c r="AP22" s="1082" t="e">
        <f aca="true" t="shared" si="30" ref="AP22:AP30">AN22+((AO22-AN22)*(AM22-AK22)/(AL22-AK22))</f>
        <v>#N/A</v>
      </c>
      <c r="AQ22" s="1122">
        <f aca="true" t="shared" si="31" ref="AQ22:AQ35">0.056</f>
        <v>0.056</v>
      </c>
      <c r="AR22" s="1077">
        <f aca="true" t="shared" si="32" ref="AR22:AR30">((0.36*$H$5*1000*AU22*((D22-20)-(0.416*AU22))))/1000000</f>
        <v>46.67853993875843</v>
      </c>
      <c r="AS22" s="1074">
        <f aca="true" t="shared" si="33" ref="AS22:AS30">(AR22*1000000)/(1000*(D22-20)^2)</f>
        <v>2.762043783358487</v>
      </c>
      <c r="AT22" s="1084">
        <f aca="true" t="shared" si="34" ref="AT22:AT35">(0.0035)/(0.0055+((0.87*$H$6)/(200*1000)))</f>
        <v>0.4791074911878444</v>
      </c>
      <c r="AU22" s="1085">
        <f aca="true" t="shared" si="35" ref="AU22:AU30">AT22*(D22-20)</f>
        <v>62.28397385441977</v>
      </c>
      <c r="AV22" s="1074">
        <f aca="true" t="shared" si="36" ref="AV22:AV30">(L22*1000000)/(1000*(D22-20)^2)</f>
        <v>0.7988165680473372</v>
      </c>
      <c r="AW22" s="1074" t="e">
        <f aca="true" t="shared" si="37" ref="AW22:AW30">(M22*1000000)/(1000*(D22-20)^2)</f>
        <v>#VALUE!</v>
      </c>
      <c r="AX22" s="1086">
        <f aca="true" t="shared" si="38" ref="AX22:AX35">5000*SQRT($H$5)*1000</f>
        <v>22360679.774997897</v>
      </c>
      <c r="AY22" s="1086">
        <f aca="true" t="shared" si="39" ref="AY22:AY30">((1000*D22^3)/12)/1000000000000</f>
        <v>0.00028125</v>
      </c>
      <c r="AZ22" s="1084">
        <f aca="true" t="shared" si="40" ref="AZ22:AZ30">IF(H22&lt;2,((5*E22*F22^4)/(384*AX22*AY22)*1000),((5*E22*G22^4)/(384*AX22*AY22)*1000))</f>
        <v>2.012461179749811</v>
      </c>
    </row>
    <row r="23" spans="2:52" s="1067" customFormat="1" ht="31.5">
      <c r="B23" s="1119" t="s">
        <v>954</v>
      </c>
      <c r="C23" s="1120" t="s">
        <v>822</v>
      </c>
      <c r="D23" s="1071">
        <v>150</v>
      </c>
      <c r="E23" s="1072">
        <v>12</v>
      </c>
      <c r="F23" s="1073">
        <v>7.2</v>
      </c>
      <c r="G23" s="1073">
        <v>3.5</v>
      </c>
      <c r="H23" s="1074">
        <f t="shared" si="0"/>
        <v>2.0571428571428574</v>
      </c>
      <c r="I23" s="1075" t="str">
        <f t="shared" si="1"/>
        <v>-</v>
      </c>
      <c r="J23" s="1076">
        <f t="shared" si="2"/>
        <v>21</v>
      </c>
      <c r="K23" s="1076">
        <f t="shared" si="3"/>
      </c>
      <c r="L23" s="1077">
        <f t="shared" si="4"/>
        <v>18.375</v>
      </c>
      <c r="M23" s="1077">
        <f t="shared" si="5"/>
      </c>
      <c r="N23" s="1078" t="str">
        <f t="shared" si="6"/>
        <v>OK</v>
      </c>
      <c r="O23" s="1121">
        <f t="shared" si="7"/>
        <v>419.7495697575419</v>
      </c>
      <c r="P23" s="1121">
        <f t="shared" si="8"/>
      </c>
      <c r="Q23" s="1079">
        <f t="shared" si="9"/>
        <v>119.75112323872379</v>
      </c>
      <c r="R23" s="1079">
        <f t="shared" si="10"/>
      </c>
      <c r="S23" s="1079">
        <f t="shared" si="11"/>
        <v>187.11113006050593</v>
      </c>
      <c r="T23" s="1079">
        <f t="shared" si="12"/>
      </c>
      <c r="U23" s="1079">
        <f t="shared" si="13"/>
        <v>269.4400272871285</v>
      </c>
      <c r="V23" s="1079">
        <f t="shared" si="14"/>
      </c>
      <c r="W23" s="1079"/>
      <c r="X23" s="1079"/>
      <c r="Y23" s="1075" t="str">
        <f t="shared" si="15"/>
        <v>-</v>
      </c>
      <c r="Z23" s="1080"/>
      <c r="AA23" s="1081">
        <f t="shared" si="16"/>
        <v>0.75292464375</v>
      </c>
      <c r="AB23" s="1082">
        <f t="shared" si="17"/>
        <v>-3.6105</v>
      </c>
      <c r="AC23" s="1082">
        <f t="shared" si="18"/>
        <v>1.0872781065088757</v>
      </c>
      <c r="AD23" s="1082">
        <f t="shared" si="19"/>
        <v>0.3228842844288784</v>
      </c>
      <c r="AE23" s="1083">
        <f t="shared" si="20"/>
        <v>419.7495697575419</v>
      </c>
      <c r="AF23" s="1082" t="e">
        <f t="shared" si="21"/>
        <v>#VALUE!</v>
      </c>
      <c r="AG23" s="1082" t="e">
        <f t="shared" si="22"/>
        <v>#VALUE!</v>
      </c>
      <c r="AH23" s="1083" t="e">
        <f t="shared" si="23"/>
        <v>#VALUE!</v>
      </c>
      <c r="AI23" s="1084">
        <f t="shared" si="24"/>
        <v>0.12</v>
      </c>
      <c r="AJ23" s="1069">
        <f t="shared" si="25"/>
        <v>180</v>
      </c>
      <c r="AK23" s="1081" t="b">
        <f t="shared" si="26"/>
        <v>0</v>
      </c>
      <c r="AL23" s="1081" t="b">
        <f t="shared" si="27"/>
        <v>0</v>
      </c>
      <c r="AM23" s="1081">
        <f t="shared" si="28"/>
        <v>2.0571428571428574</v>
      </c>
      <c r="AN23" s="1094" t="e">
        <f t="shared" si="29"/>
        <v>#N/A</v>
      </c>
      <c r="AO23" s="1094" t="e">
        <f t="shared" si="29"/>
        <v>#N/A</v>
      </c>
      <c r="AP23" s="1082" t="e">
        <f t="shared" si="30"/>
        <v>#N/A</v>
      </c>
      <c r="AQ23" s="1122">
        <f t="shared" si="31"/>
        <v>0.056</v>
      </c>
      <c r="AR23" s="1077">
        <f t="shared" si="32"/>
        <v>46.67853993875843</v>
      </c>
      <c r="AS23" s="1074">
        <f t="shared" si="33"/>
        <v>2.762043783358487</v>
      </c>
      <c r="AT23" s="1084">
        <f t="shared" si="34"/>
        <v>0.4791074911878444</v>
      </c>
      <c r="AU23" s="1085">
        <f t="shared" si="35"/>
        <v>62.28397385441977</v>
      </c>
      <c r="AV23" s="1074">
        <f t="shared" si="36"/>
        <v>1.0872781065088757</v>
      </c>
      <c r="AW23" s="1074" t="e">
        <f t="shared" si="37"/>
        <v>#VALUE!</v>
      </c>
      <c r="AX23" s="1086">
        <f t="shared" si="38"/>
        <v>22360679.774997897</v>
      </c>
      <c r="AY23" s="1086">
        <f t="shared" si="39"/>
        <v>0.00028125</v>
      </c>
      <c r="AZ23" s="1084">
        <f t="shared" si="40"/>
        <v>3.728332787484025</v>
      </c>
    </row>
    <row r="24" spans="2:52" s="1067" customFormat="1" ht="31.5">
      <c r="B24" s="1119">
        <v>2</v>
      </c>
      <c r="C24" s="1120" t="s">
        <v>822</v>
      </c>
      <c r="D24" s="1071">
        <v>150</v>
      </c>
      <c r="E24" s="1072">
        <v>12</v>
      </c>
      <c r="F24" s="1073">
        <v>9.2</v>
      </c>
      <c r="G24" s="1073">
        <v>1.5</v>
      </c>
      <c r="H24" s="1074">
        <f t="shared" si="0"/>
        <v>6.133333333333333</v>
      </c>
      <c r="I24" s="1075" t="str">
        <f t="shared" si="1"/>
        <v>-</v>
      </c>
      <c r="J24" s="1076">
        <f t="shared" si="2"/>
        <v>9</v>
      </c>
      <c r="K24" s="1076">
        <f t="shared" si="3"/>
      </c>
      <c r="L24" s="1077">
        <f t="shared" si="4"/>
        <v>3.375</v>
      </c>
      <c r="M24" s="1077">
        <f t="shared" si="5"/>
      </c>
      <c r="N24" s="1078" t="str">
        <f t="shared" si="6"/>
        <v>OK</v>
      </c>
      <c r="O24" s="1121">
        <f t="shared" si="7"/>
        <v>180</v>
      </c>
      <c r="P24" s="1121">
        <f t="shared" si="8"/>
      </c>
      <c r="Q24" s="1079">
        <f t="shared" si="9"/>
        <v>279.25268031909275</v>
      </c>
      <c r="R24" s="1079">
        <f t="shared" si="10"/>
      </c>
      <c r="S24" s="1079">
        <f t="shared" si="11"/>
        <v>436.3323129985824</v>
      </c>
      <c r="T24" s="1079">
        <f t="shared" si="12"/>
      </c>
      <c r="U24" s="1079">
        <f t="shared" si="13"/>
        <v>628.3185307179587</v>
      </c>
      <c r="V24" s="1079">
        <f t="shared" si="14"/>
      </c>
      <c r="W24" s="1079"/>
      <c r="X24" s="1079"/>
      <c r="Y24" s="1075" t="str">
        <f t="shared" si="15"/>
        <v>-</v>
      </c>
      <c r="Z24" s="1080"/>
      <c r="AA24" s="1081">
        <f t="shared" si="16"/>
        <v>0.75292464375</v>
      </c>
      <c r="AB24" s="1082">
        <f t="shared" si="17"/>
        <v>-3.6105</v>
      </c>
      <c r="AC24" s="1082">
        <f t="shared" si="18"/>
        <v>0.1997041420118343</v>
      </c>
      <c r="AD24" s="1082">
        <f t="shared" si="19"/>
        <v>0.0559652072052592</v>
      </c>
      <c r="AE24" s="1083">
        <f t="shared" si="20"/>
        <v>72.75476936683697</v>
      </c>
      <c r="AF24" s="1082" t="e">
        <f t="shared" si="21"/>
        <v>#VALUE!</v>
      </c>
      <c r="AG24" s="1082" t="e">
        <f t="shared" si="22"/>
        <v>#VALUE!</v>
      </c>
      <c r="AH24" s="1083" t="e">
        <f t="shared" si="23"/>
        <v>#VALUE!</v>
      </c>
      <c r="AI24" s="1084">
        <f t="shared" si="24"/>
        <v>0.12</v>
      </c>
      <c r="AJ24" s="1069">
        <f t="shared" si="25"/>
        <v>180</v>
      </c>
      <c r="AK24" s="1081" t="b">
        <f t="shared" si="26"/>
        <v>0</v>
      </c>
      <c r="AL24" s="1081" t="b">
        <f t="shared" si="27"/>
        <v>0</v>
      </c>
      <c r="AM24" s="1081">
        <f t="shared" si="28"/>
        <v>6.133333333333333</v>
      </c>
      <c r="AN24" s="1094" t="e">
        <f t="shared" si="29"/>
        <v>#N/A</v>
      </c>
      <c r="AO24" s="1094" t="e">
        <f t="shared" si="29"/>
        <v>#N/A</v>
      </c>
      <c r="AP24" s="1082" t="e">
        <f t="shared" si="30"/>
        <v>#N/A</v>
      </c>
      <c r="AQ24" s="1122">
        <f t="shared" si="31"/>
        <v>0.056</v>
      </c>
      <c r="AR24" s="1077">
        <f t="shared" si="32"/>
        <v>46.67853993875843</v>
      </c>
      <c r="AS24" s="1074">
        <f t="shared" si="33"/>
        <v>2.762043783358487</v>
      </c>
      <c r="AT24" s="1084">
        <f t="shared" si="34"/>
        <v>0.4791074911878444</v>
      </c>
      <c r="AU24" s="1085">
        <f t="shared" si="35"/>
        <v>62.28397385441977</v>
      </c>
      <c r="AV24" s="1074">
        <f t="shared" si="36"/>
        <v>0.1997041420118343</v>
      </c>
      <c r="AW24" s="1074" t="e">
        <f t="shared" si="37"/>
        <v>#VALUE!</v>
      </c>
      <c r="AX24" s="1086">
        <f t="shared" si="38"/>
        <v>22360679.774997897</v>
      </c>
      <c r="AY24" s="1086">
        <f t="shared" si="39"/>
        <v>0.00028125</v>
      </c>
      <c r="AZ24" s="1084">
        <f t="shared" si="40"/>
        <v>0.1257788237343632</v>
      </c>
    </row>
    <row r="25" spans="2:52" s="1067" customFormat="1" ht="31.5">
      <c r="B25" s="1119">
        <v>3</v>
      </c>
      <c r="C25" s="1120" t="s">
        <v>822</v>
      </c>
      <c r="D25" s="1071">
        <v>150</v>
      </c>
      <c r="E25" s="1072">
        <v>12</v>
      </c>
      <c r="F25" s="1073">
        <v>5.7</v>
      </c>
      <c r="G25" s="1073">
        <v>2</v>
      </c>
      <c r="H25" s="1074">
        <f t="shared" si="0"/>
        <v>2.85</v>
      </c>
      <c r="I25" s="1075" t="str">
        <f t="shared" si="1"/>
        <v>-</v>
      </c>
      <c r="J25" s="1076">
        <f t="shared" si="2"/>
        <v>12</v>
      </c>
      <c r="K25" s="1076">
        <f t="shared" si="3"/>
      </c>
      <c r="L25" s="1077">
        <f t="shared" si="4"/>
        <v>6</v>
      </c>
      <c r="M25" s="1077">
        <f t="shared" si="5"/>
      </c>
      <c r="N25" s="1078" t="str">
        <f t="shared" si="6"/>
        <v>OK</v>
      </c>
      <c r="O25" s="1121">
        <f t="shared" si="7"/>
        <v>180</v>
      </c>
      <c r="P25" s="1121">
        <f t="shared" si="8"/>
      </c>
      <c r="Q25" s="1079">
        <f t="shared" si="9"/>
        <v>279.25268031909275</v>
      </c>
      <c r="R25" s="1079">
        <f t="shared" si="10"/>
      </c>
      <c r="S25" s="1079">
        <f t="shared" si="11"/>
        <v>436.3323129985824</v>
      </c>
      <c r="T25" s="1079">
        <f t="shared" si="12"/>
      </c>
      <c r="U25" s="1079">
        <f t="shared" si="13"/>
        <v>628.3185307179587</v>
      </c>
      <c r="V25" s="1079">
        <f t="shared" si="14"/>
      </c>
      <c r="W25" s="1079"/>
      <c r="X25" s="1079"/>
      <c r="Y25" s="1075" t="str">
        <f t="shared" si="15"/>
        <v>-</v>
      </c>
      <c r="Z25" s="1080"/>
      <c r="AA25" s="1081">
        <f t="shared" si="16"/>
        <v>0.75292464375</v>
      </c>
      <c r="AB25" s="1082">
        <f t="shared" si="17"/>
        <v>-3.6105</v>
      </c>
      <c r="AC25" s="1082">
        <f t="shared" si="18"/>
        <v>0.35502958579881655</v>
      </c>
      <c r="AD25" s="1082">
        <f t="shared" si="19"/>
        <v>0.10043613077751332</v>
      </c>
      <c r="AE25" s="1083">
        <f t="shared" si="20"/>
        <v>130.5669700107673</v>
      </c>
      <c r="AF25" s="1082" t="e">
        <f t="shared" si="21"/>
        <v>#VALUE!</v>
      </c>
      <c r="AG25" s="1082" t="e">
        <f t="shared" si="22"/>
        <v>#VALUE!</v>
      </c>
      <c r="AH25" s="1083" t="e">
        <f t="shared" si="23"/>
        <v>#VALUE!</v>
      </c>
      <c r="AI25" s="1084">
        <f t="shared" si="24"/>
        <v>0.12</v>
      </c>
      <c r="AJ25" s="1069">
        <f t="shared" si="25"/>
        <v>180</v>
      </c>
      <c r="AK25" s="1081" t="b">
        <f t="shared" si="26"/>
        <v>0</v>
      </c>
      <c r="AL25" s="1081" t="b">
        <f t="shared" si="27"/>
        <v>0</v>
      </c>
      <c r="AM25" s="1081">
        <f t="shared" si="28"/>
        <v>2.85</v>
      </c>
      <c r="AN25" s="1094" t="e">
        <f t="shared" si="29"/>
        <v>#N/A</v>
      </c>
      <c r="AO25" s="1094" t="e">
        <f t="shared" si="29"/>
        <v>#N/A</v>
      </c>
      <c r="AP25" s="1082" t="e">
        <f t="shared" si="30"/>
        <v>#N/A</v>
      </c>
      <c r="AQ25" s="1122">
        <f t="shared" si="31"/>
        <v>0.056</v>
      </c>
      <c r="AR25" s="1077">
        <f t="shared" si="32"/>
        <v>46.67853993875843</v>
      </c>
      <c r="AS25" s="1074">
        <f t="shared" si="33"/>
        <v>2.762043783358487</v>
      </c>
      <c r="AT25" s="1084">
        <f t="shared" si="34"/>
        <v>0.4791074911878444</v>
      </c>
      <c r="AU25" s="1085">
        <f t="shared" si="35"/>
        <v>62.28397385441977</v>
      </c>
      <c r="AV25" s="1074">
        <f t="shared" si="36"/>
        <v>0.35502958579881655</v>
      </c>
      <c r="AW25" s="1074" t="e">
        <f t="shared" si="37"/>
        <v>#VALUE!</v>
      </c>
      <c r="AX25" s="1086">
        <f t="shared" si="38"/>
        <v>22360679.774997897</v>
      </c>
      <c r="AY25" s="1086">
        <f t="shared" si="39"/>
        <v>0.00028125</v>
      </c>
      <c r="AZ25" s="1084">
        <f t="shared" si="40"/>
        <v>0.39752319599996266</v>
      </c>
    </row>
    <row r="26" spans="2:52" s="1067" customFormat="1" ht="31.5">
      <c r="B26" s="1119">
        <v>4</v>
      </c>
      <c r="C26" s="1120" t="s">
        <v>822</v>
      </c>
      <c r="D26" s="1071">
        <v>150</v>
      </c>
      <c r="E26" s="1072">
        <v>12</v>
      </c>
      <c r="F26" s="1073">
        <v>3.6</v>
      </c>
      <c r="G26" s="1073">
        <v>2</v>
      </c>
      <c r="H26" s="1074">
        <f t="shared" si="0"/>
        <v>1.8</v>
      </c>
      <c r="I26" s="1075" t="str">
        <f t="shared" si="1"/>
        <v>+</v>
      </c>
      <c r="J26" s="1076">
        <f t="shared" si="2"/>
        <v>10.765432098765432</v>
      </c>
      <c r="K26" s="1076">
        <f t="shared" si="3"/>
        <v>8</v>
      </c>
      <c r="L26" s="1077">
        <f t="shared" si="4"/>
        <v>4.8672</v>
      </c>
      <c r="M26" s="1077">
        <f t="shared" si="5"/>
        <v>2.688</v>
      </c>
      <c r="N26" s="1078" t="str">
        <f t="shared" si="6"/>
        <v>OK</v>
      </c>
      <c r="O26" s="1121">
        <f t="shared" si="7"/>
        <v>180</v>
      </c>
      <c r="P26" s="1121">
        <f t="shared" si="8"/>
        <v>180</v>
      </c>
      <c r="Q26" s="1079">
        <f t="shared" si="9"/>
        <v>279.25268031909275</v>
      </c>
      <c r="R26" s="1079">
        <f t="shared" si="10"/>
        <v>279.25268031909275</v>
      </c>
      <c r="S26" s="1079">
        <f t="shared" si="11"/>
        <v>436.3323129985824</v>
      </c>
      <c r="T26" s="1079">
        <f t="shared" si="12"/>
        <v>436.3323129985824</v>
      </c>
      <c r="U26" s="1079">
        <f t="shared" si="13"/>
        <v>628.3185307179587</v>
      </c>
      <c r="V26" s="1079">
        <f t="shared" si="14"/>
        <v>628.3185307179587</v>
      </c>
      <c r="W26" s="1079"/>
      <c r="X26" s="1079"/>
      <c r="Y26" s="1075" t="str">
        <f t="shared" si="15"/>
        <v>+</v>
      </c>
      <c r="Z26" s="1080"/>
      <c r="AA26" s="1081">
        <f t="shared" si="16"/>
        <v>0.75292464375</v>
      </c>
      <c r="AB26" s="1082">
        <f t="shared" si="17"/>
        <v>-3.6105</v>
      </c>
      <c r="AC26" s="1082">
        <f t="shared" si="18"/>
        <v>0.288</v>
      </c>
      <c r="AD26" s="1082">
        <f t="shared" si="19"/>
        <v>0.08114030377871202</v>
      </c>
      <c r="AE26" s="1083">
        <f t="shared" si="20"/>
        <v>105.48239491232563</v>
      </c>
      <c r="AF26" s="1082">
        <f t="shared" si="21"/>
        <v>0.15905325443786983</v>
      </c>
      <c r="AG26" s="1082">
        <f t="shared" si="22"/>
        <v>0.04446528404507892</v>
      </c>
      <c r="AH26" s="1083">
        <f t="shared" si="23"/>
        <v>57.804869258602594</v>
      </c>
      <c r="AI26" s="1084">
        <f t="shared" si="24"/>
        <v>0.12</v>
      </c>
      <c r="AJ26" s="1069">
        <f t="shared" si="25"/>
        <v>180</v>
      </c>
      <c r="AK26" s="1081">
        <f t="shared" si="26"/>
        <v>1.75</v>
      </c>
      <c r="AL26" s="1081">
        <f t="shared" si="27"/>
        <v>2</v>
      </c>
      <c r="AM26" s="1081">
        <f t="shared" si="28"/>
        <v>1.8</v>
      </c>
      <c r="AN26" s="1094">
        <f t="shared" si="29"/>
        <v>0.1</v>
      </c>
      <c r="AO26" s="1094">
        <f t="shared" si="29"/>
        <v>0.107</v>
      </c>
      <c r="AP26" s="1082">
        <f t="shared" si="30"/>
        <v>0.1014</v>
      </c>
      <c r="AQ26" s="1122">
        <f t="shared" si="31"/>
        <v>0.056</v>
      </c>
      <c r="AR26" s="1077">
        <f t="shared" si="32"/>
        <v>46.67853993875843</v>
      </c>
      <c r="AS26" s="1074">
        <f t="shared" si="33"/>
        <v>2.762043783358487</v>
      </c>
      <c r="AT26" s="1084">
        <f t="shared" si="34"/>
        <v>0.4791074911878444</v>
      </c>
      <c r="AU26" s="1085">
        <f t="shared" si="35"/>
        <v>62.28397385441977</v>
      </c>
      <c r="AV26" s="1074">
        <f t="shared" si="36"/>
        <v>0.288</v>
      </c>
      <c r="AW26" s="1074">
        <f t="shared" si="37"/>
        <v>0.15905325443786983</v>
      </c>
      <c r="AX26" s="1086">
        <f t="shared" si="38"/>
        <v>22360679.774997897</v>
      </c>
      <c r="AY26" s="1086">
        <f t="shared" si="39"/>
        <v>0.00028125</v>
      </c>
      <c r="AZ26" s="1084">
        <f t="shared" si="40"/>
        <v>4.173039502329209</v>
      </c>
    </row>
    <row r="27" spans="2:52" s="1067" customFormat="1" ht="31.5">
      <c r="B27" s="1119">
        <v>5</v>
      </c>
      <c r="C27" s="1120" t="s">
        <v>822</v>
      </c>
      <c r="D27" s="1071">
        <v>150</v>
      </c>
      <c r="E27" s="1072">
        <v>12</v>
      </c>
      <c r="F27" s="1073">
        <v>15</v>
      </c>
      <c r="G27" s="1073">
        <v>2.6</v>
      </c>
      <c r="H27" s="1074">
        <f t="shared" si="0"/>
        <v>5.769230769230769</v>
      </c>
      <c r="I27" s="1075" t="str">
        <f t="shared" si="1"/>
        <v>-</v>
      </c>
      <c r="J27" s="1076">
        <f t="shared" si="2"/>
        <v>15.600000000000001</v>
      </c>
      <c r="K27" s="1076">
        <f t="shared" si="3"/>
      </c>
      <c r="L27" s="1077">
        <f t="shared" si="4"/>
        <v>10.14</v>
      </c>
      <c r="M27" s="1077">
        <f t="shared" si="5"/>
      </c>
      <c r="N27" s="1078" t="str">
        <f t="shared" si="6"/>
        <v>OK</v>
      </c>
      <c r="O27" s="1121">
        <f t="shared" si="7"/>
        <v>224.09208494549657</v>
      </c>
      <c r="P27" s="1121">
        <f t="shared" si="8"/>
      </c>
      <c r="Q27" s="1079">
        <f t="shared" si="9"/>
        <v>224.30726399668336</v>
      </c>
      <c r="R27" s="1079">
        <f t="shared" si="10"/>
      </c>
      <c r="S27" s="1079">
        <f t="shared" si="11"/>
        <v>350.48009999481775</v>
      </c>
      <c r="T27" s="1079">
        <f t="shared" si="12"/>
      </c>
      <c r="U27" s="1079">
        <f t="shared" si="13"/>
        <v>504.69134399253755</v>
      </c>
      <c r="V27" s="1079">
        <f t="shared" si="14"/>
      </c>
      <c r="W27" s="1079"/>
      <c r="X27" s="1079"/>
      <c r="Y27" s="1075" t="str">
        <f t="shared" si="15"/>
        <v>-</v>
      </c>
      <c r="Z27" s="1080"/>
      <c r="AA27" s="1081">
        <f t="shared" si="16"/>
        <v>0.75292464375</v>
      </c>
      <c r="AB27" s="1082">
        <f t="shared" si="17"/>
        <v>-3.6105</v>
      </c>
      <c r="AC27" s="1082">
        <f t="shared" si="18"/>
        <v>0.6</v>
      </c>
      <c r="AD27" s="1082">
        <f t="shared" si="19"/>
        <v>0.1723785268811512</v>
      </c>
      <c r="AE27" s="1083">
        <f t="shared" si="20"/>
        <v>224.09208494549657</v>
      </c>
      <c r="AF27" s="1082" t="e">
        <f t="shared" si="21"/>
        <v>#VALUE!</v>
      </c>
      <c r="AG27" s="1082" t="e">
        <f t="shared" si="22"/>
        <v>#VALUE!</v>
      </c>
      <c r="AH27" s="1083" t="e">
        <f t="shared" si="23"/>
        <v>#VALUE!</v>
      </c>
      <c r="AI27" s="1084">
        <f t="shared" si="24"/>
        <v>0.12</v>
      </c>
      <c r="AJ27" s="1069">
        <f t="shared" si="25"/>
        <v>180</v>
      </c>
      <c r="AK27" s="1081" t="b">
        <f t="shared" si="26"/>
        <v>0</v>
      </c>
      <c r="AL27" s="1081" t="b">
        <f t="shared" si="27"/>
        <v>0</v>
      </c>
      <c r="AM27" s="1081">
        <f t="shared" si="28"/>
        <v>5.769230769230769</v>
      </c>
      <c r="AN27" s="1094" t="e">
        <f t="shared" si="29"/>
        <v>#N/A</v>
      </c>
      <c r="AO27" s="1094" t="e">
        <f t="shared" si="29"/>
        <v>#N/A</v>
      </c>
      <c r="AP27" s="1082" t="e">
        <f t="shared" si="30"/>
        <v>#N/A</v>
      </c>
      <c r="AQ27" s="1122">
        <f t="shared" si="31"/>
        <v>0.056</v>
      </c>
      <c r="AR27" s="1077">
        <f t="shared" si="32"/>
        <v>46.67853993875843</v>
      </c>
      <c r="AS27" s="1074">
        <f t="shared" si="33"/>
        <v>2.762043783358487</v>
      </c>
      <c r="AT27" s="1084">
        <f t="shared" si="34"/>
        <v>0.4791074911878444</v>
      </c>
      <c r="AU27" s="1085">
        <f t="shared" si="35"/>
        <v>62.28397385441977</v>
      </c>
      <c r="AV27" s="1074">
        <f t="shared" si="36"/>
        <v>0.6</v>
      </c>
      <c r="AW27" s="1074" t="e">
        <f t="shared" si="37"/>
        <v>#VALUE!</v>
      </c>
      <c r="AX27" s="1086">
        <f t="shared" si="38"/>
        <v>22360679.774997897</v>
      </c>
      <c r="AY27" s="1086">
        <f t="shared" si="39"/>
        <v>0.00028125</v>
      </c>
      <c r="AZ27" s="1084">
        <f t="shared" si="40"/>
        <v>1.1353660000954935</v>
      </c>
    </row>
    <row r="28" spans="2:52" s="1067" customFormat="1" ht="31.5">
      <c r="B28" s="1119">
        <v>6</v>
      </c>
      <c r="C28" s="1120" t="s">
        <v>822</v>
      </c>
      <c r="D28" s="1071">
        <v>150</v>
      </c>
      <c r="E28" s="1072">
        <v>12</v>
      </c>
      <c r="F28" s="1073">
        <v>6.5</v>
      </c>
      <c r="G28" s="1073">
        <v>5.5</v>
      </c>
      <c r="H28" s="1074">
        <f t="shared" si="0"/>
        <v>1.1818181818181819</v>
      </c>
      <c r="I28" s="1075" t="str">
        <f t="shared" si="1"/>
        <v>+</v>
      </c>
      <c r="J28" s="1076">
        <f t="shared" si="2"/>
        <v>25.124260355029588</v>
      </c>
      <c r="K28" s="1076">
        <f t="shared" si="3"/>
        <v>22</v>
      </c>
      <c r="L28" s="1077">
        <f t="shared" si="4"/>
        <v>25.608</v>
      </c>
      <c r="M28" s="1077">
        <f t="shared" si="5"/>
        <v>20.328000000000003</v>
      </c>
      <c r="N28" s="1078" t="str">
        <f t="shared" si="6"/>
        <v>OK</v>
      </c>
      <c r="O28" s="1121">
        <f t="shared" si="7"/>
        <v>604.1359288684002</v>
      </c>
      <c r="P28" s="1121">
        <f t="shared" si="8"/>
        <v>468.2708563801752</v>
      </c>
      <c r="Q28" s="1079">
        <f t="shared" si="9"/>
        <v>83.20227295798871</v>
      </c>
      <c r="R28" s="1079">
        <f t="shared" si="10"/>
        <v>107.3427521114567</v>
      </c>
      <c r="S28" s="1079">
        <f t="shared" si="11"/>
        <v>130.00355149685737</v>
      </c>
      <c r="T28" s="1079">
        <f t="shared" si="12"/>
        <v>167.72305017415113</v>
      </c>
      <c r="U28" s="1079">
        <f t="shared" si="13"/>
        <v>187.2051141554746</v>
      </c>
      <c r="V28" s="1079">
        <f t="shared" si="14"/>
        <v>241.5211922507776</v>
      </c>
      <c r="W28" s="1079"/>
      <c r="X28" s="1079"/>
      <c r="Y28" s="1075" t="str">
        <f t="shared" si="15"/>
        <v>+</v>
      </c>
      <c r="Z28" s="1080"/>
      <c r="AA28" s="1081">
        <f t="shared" si="16"/>
        <v>0.75292464375</v>
      </c>
      <c r="AB28" s="1082">
        <f t="shared" si="17"/>
        <v>-3.6105</v>
      </c>
      <c r="AC28" s="1082">
        <f t="shared" si="18"/>
        <v>1.515266272189349</v>
      </c>
      <c r="AD28" s="1082">
        <f t="shared" si="19"/>
        <v>0.46471994528338484</v>
      </c>
      <c r="AE28" s="1083">
        <f t="shared" si="20"/>
        <v>604.1359288684002</v>
      </c>
      <c r="AF28" s="1082">
        <f t="shared" si="21"/>
        <v>1.2028402366863908</v>
      </c>
      <c r="AG28" s="1082">
        <f t="shared" si="22"/>
        <v>0.3602083510616732</v>
      </c>
      <c r="AH28" s="1083">
        <f t="shared" si="23"/>
        <v>468.2708563801752</v>
      </c>
      <c r="AI28" s="1084">
        <f t="shared" si="24"/>
        <v>0.12</v>
      </c>
      <c r="AJ28" s="1069">
        <f t="shared" si="25"/>
        <v>180</v>
      </c>
      <c r="AK28" s="1081">
        <f t="shared" si="26"/>
        <v>1.1</v>
      </c>
      <c r="AL28" s="1081">
        <f t="shared" si="27"/>
        <v>1.2</v>
      </c>
      <c r="AM28" s="1081">
        <f t="shared" si="28"/>
        <v>1.1818181818181819</v>
      </c>
      <c r="AN28" s="1094">
        <f t="shared" si="29"/>
        <v>0.064</v>
      </c>
      <c r="AO28" s="1094">
        <f t="shared" si="29"/>
        <v>0.072</v>
      </c>
      <c r="AP28" s="1082">
        <f t="shared" si="30"/>
        <v>0.07054545454545455</v>
      </c>
      <c r="AQ28" s="1122">
        <f t="shared" si="31"/>
        <v>0.056</v>
      </c>
      <c r="AR28" s="1077">
        <f t="shared" si="32"/>
        <v>46.67853993875843</v>
      </c>
      <c r="AS28" s="1074">
        <f t="shared" si="33"/>
        <v>2.762043783358487</v>
      </c>
      <c r="AT28" s="1084">
        <f t="shared" si="34"/>
        <v>0.4791074911878444</v>
      </c>
      <c r="AU28" s="1085">
        <f t="shared" si="35"/>
        <v>62.28397385441977</v>
      </c>
      <c r="AV28" s="1074">
        <f t="shared" si="36"/>
        <v>1.515266272189349</v>
      </c>
      <c r="AW28" s="1074">
        <f t="shared" si="37"/>
        <v>1.2028402366863908</v>
      </c>
      <c r="AX28" s="1086">
        <f t="shared" si="38"/>
        <v>22360679.774997897</v>
      </c>
      <c r="AY28" s="1086">
        <f t="shared" si="39"/>
        <v>0.00028125</v>
      </c>
      <c r="AZ28" s="1084">
        <f t="shared" si="40"/>
        <v>44.35023437873021</v>
      </c>
    </row>
    <row r="29" spans="2:52" s="1067" customFormat="1" ht="31.5">
      <c r="B29" s="1119">
        <v>7</v>
      </c>
      <c r="C29" s="1120" t="s">
        <v>822</v>
      </c>
      <c r="D29" s="1071">
        <v>150</v>
      </c>
      <c r="E29" s="1072">
        <v>12</v>
      </c>
      <c r="F29" s="1073">
        <v>7.4</v>
      </c>
      <c r="G29" s="1073">
        <v>6</v>
      </c>
      <c r="H29" s="1074">
        <f t="shared" si="0"/>
        <v>1.2333333333333334</v>
      </c>
      <c r="I29" s="1075" t="str">
        <f t="shared" si="1"/>
        <v>+</v>
      </c>
      <c r="J29" s="1076">
        <f t="shared" si="2"/>
        <v>28.111029948867788</v>
      </c>
      <c r="K29" s="1076">
        <f t="shared" si="3"/>
        <v>24</v>
      </c>
      <c r="L29" s="1077">
        <f t="shared" si="4"/>
        <v>32.112</v>
      </c>
      <c r="M29" s="1077">
        <f t="shared" si="5"/>
        <v>24.192</v>
      </c>
      <c r="N29" s="1078" t="str">
        <f t="shared" si="6"/>
        <v>OK</v>
      </c>
      <c r="O29" s="1121">
        <f t="shared" si="7"/>
        <v>782.3405151638518</v>
      </c>
      <c r="P29" s="1121">
        <f t="shared" si="8"/>
        <v>566.988916416956</v>
      </c>
      <c r="Q29" s="1079">
        <f t="shared" si="9"/>
        <v>64.25013339224697</v>
      </c>
      <c r="R29" s="1079">
        <f t="shared" si="10"/>
        <v>88.65337752117915</v>
      </c>
      <c r="S29" s="1079">
        <f t="shared" si="11"/>
        <v>100.39083342538589</v>
      </c>
      <c r="T29" s="1079">
        <f t="shared" si="12"/>
        <v>138.52090237684243</v>
      </c>
      <c r="U29" s="1079">
        <f t="shared" si="13"/>
        <v>144.56280013255568</v>
      </c>
      <c r="V29" s="1079">
        <f t="shared" si="14"/>
        <v>199.47009942265305</v>
      </c>
      <c r="W29" s="1079"/>
      <c r="X29" s="1079"/>
      <c r="Y29" s="1075" t="str">
        <f t="shared" si="15"/>
        <v>+</v>
      </c>
      <c r="Z29" s="1080"/>
      <c r="AA29" s="1081">
        <f t="shared" si="16"/>
        <v>0.75292464375</v>
      </c>
      <c r="AB29" s="1082">
        <f t="shared" si="17"/>
        <v>-3.6105</v>
      </c>
      <c r="AC29" s="1082">
        <f t="shared" si="18"/>
        <v>1.9001183431952664</v>
      </c>
      <c r="AD29" s="1082">
        <f t="shared" si="19"/>
        <v>0.601800396279886</v>
      </c>
      <c r="AE29" s="1083">
        <f t="shared" si="20"/>
        <v>782.3405151638518</v>
      </c>
      <c r="AF29" s="1082">
        <f t="shared" si="21"/>
        <v>1.4314792899408284</v>
      </c>
      <c r="AG29" s="1082">
        <f t="shared" si="22"/>
        <v>0.43614532032073544</v>
      </c>
      <c r="AH29" s="1083">
        <f t="shared" si="23"/>
        <v>566.988916416956</v>
      </c>
      <c r="AI29" s="1084">
        <f t="shared" si="24"/>
        <v>0.12</v>
      </c>
      <c r="AJ29" s="1069">
        <f t="shared" si="25"/>
        <v>180</v>
      </c>
      <c r="AK29" s="1081">
        <f t="shared" si="26"/>
        <v>1.2</v>
      </c>
      <c r="AL29" s="1081">
        <f t="shared" si="27"/>
        <v>1.3</v>
      </c>
      <c r="AM29" s="1081">
        <f t="shared" si="28"/>
        <v>1.2333333333333334</v>
      </c>
      <c r="AN29" s="1094">
        <f t="shared" si="29"/>
        <v>0.072</v>
      </c>
      <c r="AO29" s="1094">
        <f t="shared" si="29"/>
        <v>0.079</v>
      </c>
      <c r="AP29" s="1082">
        <f t="shared" si="30"/>
        <v>0.07433333333333333</v>
      </c>
      <c r="AQ29" s="1122">
        <f t="shared" si="31"/>
        <v>0.056</v>
      </c>
      <c r="AR29" s="1077">
        <f t="shared" si="32"/>
        <v>46.67853993875843</v>
      </c>
      <c r="AS29" s="1074">
        <f t="shared" si="33"/>
        <v>2.762043783358487</v>
      </c>
      <c r="AT29" s="1084">
        <f t="shared" si="34"/>
        <v>0.4791074911878444</v>
      </c>
      <c r="AU29" s="1085">
        <f t="shared" si="35"/>
        <v>62.28397385441977</v>
      </c>
      <c r="AV29" s="1074">
        <f t="shared" si="36"/>
        <v>1.9001183431952664</v>
      </c>
      <c r="AW29" s="1074">
        <f t="shared" si="37"/>
        <v>1.4314792899408284</v>
      </c>
      <c r="AX29" s="1086">
        <f t="shared" si="38"/>
        <v>22360679.774997897</v>
      </c>
      <c r="AY29" s="1086">
        <f t="shared" si="39"/>
        <v>0.00028125</v>
      </c>
      <c r="AZ29" s="1084">
        <f t="shared" si="40"/>
        <v>74.50224705384862</v>
      </c>
    </row>
    <row r="30" spans="2:52" s="1067" customFormat="1" ht="31.5">
      <c r="B30" s="1119">
        <v>8</v>
      </c>
      <c r="C30" s="1120" t="s">
        <v>822</v>
      </c>
      <c r="D30" s="1071">
        <v>150</v>
      </c>
      <c r="E30" s="1072">
        <v>12</v>
      </c>
      <c r="F30" s="1073">
        <v>8.3</v>
      </c>
      <c r="G30" s="1073">
        <v>2.4</v>
      </c>
      <c r="H30" s="1074">
        <f t="shared" si="0"/>
        <v>3.458333333333334</v>
      </c>
      <c r="I30" s="1075" t="str">
        <f t="shared" si="1"/>
        <v>-</v>
      </c>
      <c r="J30" s="1076">
        <f t="shared" si="2"/>
        <v>14.399999999999999</v>
      </c>
      <c r="K30" s="1076">
        <f t="shared" si="3"/>
      </c>
      <c r="L30" s="1077">
        <f t="shared" si="4"/>
        <v>8.64</v>
      </c>
      <c r="M30" s="1077">
        <f t="shared" si="5"/>
      </c>
      <c r="N30" s="1078" t="str">
        <f t="shared" si="6"/>
        <v>OK</v>
      </c>
      <c r="O30" s="1121">
        <f t="shared" si="7"/>
        <v>189.86094147962814</v>
      </c>
      <c r="P30" s="1121">
        <f t="shared" si="8"/>
      </c>
      <c r="Q30" s="1079">
        <f t="shared" si="9"/>
        <v>264.74893712054046</v>
      </c>
      <c r="R30" s="1079">
        <f t="shared" si="10"/>
      </c>
      <c r="S30" s="1079">
        <f t="shared" si="11"/>
        <v>413.67021425084454</v>
      </c>
      <c r="T30" s="1079">
        <f t="shared" si="12"/>
      </c>
      <c r="U30" s="1079">
        <f t="shared" si="13"/>
        <v>595.6851085212162</v>
      </c>
      <c r="V30" s="1079">
        <f t="shared" si="14"/>
      </c>
      <c r="W30" s="1079"/>
      <c r="X30" s="1079"/>
      <c r="Y30" s="1075" t="str">
        <f t="shared" si="15"/>
        <v>-</v>
      </c>
      <c r="Z30" s="1080"/>
      <c r="AA30" s="1081">
        <f t="shared" si="16"/>
        <v>0.75292464375</v>
      </c>
      <c r="AB30" s="1082">
        <f t="shared" si="17"/>
        <v>-3.6105</v>
      </c>
      <c r="AC30" s="1082">
        <f t="shared" si="18"/>
        <v>0.5112426035502958</v>
      </c>
      <c r="AD30" s="1082">
        <f t="shared" si="19"/>
        <v>0.1460468780612524</v>
      </c>
      <c r="AE30" s="1083">
        <f t="shared" si="20"/>
        <v>189.86094147962814</v>
      </c>
      <c r="AF30" s="1082" t="e">
        <f t="shared" si="21"/>
        <v>#VALUE!</v>
      </c>
      <c r="AG30" s="1082" t="e">
        <f t="shared" si="22"/>
        <v>#VALUE!</v>
      </c>
      <c r="AH30" s="1083" t="e">
        <f t="shared" si="23"/>
        <v>#VALUE!</v>
      </c>
      <c r="AI30" s="1084">
        <f t="shared" si="24"/>
        <v>0.12</v>
      </c>
      <c r="AJ30" s="1069">
        <f t="shared" si="25"/>
        <v>180</v>
      </c>
      <c r="AK30" s="1081" t="b">
        <f t="shared" si="26"/>
        <v>0</v>
      </c>
      <c r="AL30" s="1081" t="b">
        <f t="shared" si="27"/>
        <v>0</v>
      </c>
      <c r="AM30" s="1081">
        <f t="shared" si="28"/>
        <v>3.458333333333334</v>
      </c>
      <c r="AN30" s="1094" t="e">
        <f t="shared" si="29"/>
        <v>#N/A</v>
      </c>
      <c r="AO30" s="1094" t="e">
        <f t="shared" si="29"/>
        <v>#N/A</v>
      </c>
      <c r="AP30" s="1082" t="e">
        <f t="shared" si="30"/>
        <v>#N/A</v>
      </c>
      <c r="AQ30" s="1122">
        <f t="shared" si="31"/>
        <v>0.056</v>
      </c>
      <c r="AR30" s="1077">
        <f t="shared" si="32"/>
        <v>46.67853993875843</v>
      </c>
      <c r="AS30" s="1074">
        <f t="shared" si="33"/>
        <v>2.762043783358487</v>
      </c>
      <c r="AT30" s="1084">
        <f t="shared" si="34"/>
        <v>0.4791074911878444</v>
      </c>
      <c r="AU30" s="1085">
        <f t="shared" si="35"/>
        <v>62.28397385441977</v>
      </c>
      <c r="AV30" s="1074">
        <f t="shared" si="36"/>
        <v>0.5112426035502958</v>
      </c>
      <c r="AW30" s="1074" t="e">
        <f t="shared" si="37"/>
        <v>#VALUE!</v>
      </c>
      <c r="AX30" s="1086">
        <f t="shared" si="38"/>
        <v>22360679.774997897</v>
      </c>
      <c r="AY30" s="1086">
        <f t="shared" si="39"/>
        <v>0.00028125</v>
      </c>
      <c r="AZ30" s="1084">
        <f t="shared" si="40"/>
        <v>0.8243040992255225</v>
      </c>
    </row>
    <row r="31" spans="2:52" s="1067" customFormat="1" ht="31.5">
      <c r="B31" s="1119">
        <v>9</v>
      </c>
      <c r="C31" s="1120" t="s">
        <v>822</v>
      </c>
      <c r="D31" s="1071">
        <v>150</v>
      </c>
      <c r="E31" s="1072">
        <v>12</v>
      </c>
      <c r="F31" s="1073">
        <v>6.7</v>
      </c>
      <c r="G31" s="1073">
        <v>3.7</v>
      </c>
      <c r="H31" s="1074">
        <f>F31/G31</f>
        <v>1.8108108108108107</v>
      </c>
      <c r="I31" s="1075" t="str">
        <f>IF(H31&lt;=2,"+","-")</f>
        <v>+</v>
      </c>
      <c r="J31" s="1076">
        <f>IF(H31&lt;=2,(E31*G31/2)*(1-((1/3)*(G31/F31)^2)),(E31*G31/2))</f>
        <v>19.943239028736915</v>
      </c>
      <c r="K31" s="1076">
        <f>IF(H31&lt;=2,(E31*G31/3),"")</f>
        <v>14.800000000000002</v>
      </c>
      <c r="L31" s="1077">
        <f>IF(H31&lt;=2,(AP31*E31*G31^2),((E31*G31^2)/8))</f>
        <v>16.707720000000002</v>
      </c>
      <c r="M31" s="1077">
        <f>IF(H31&lt;=2,(AQ31*E31*G31^2),"")</f>
        <v>9.19968</v>
      </c>
      <c r="N31" s="1078" t="str">
        <f>IF(AR31&lt;MAX(L31:M31),"Increase","OK")</f>
        <v>OK</v>
      </c>
      <c r="O31" s="1121">
        <f>IF(AR31&lt;MAX(L31:M31),"",IF(AD31&lt;AI31,AJ31,AE31))</f>
        <v>379.0071548071673</v>
      </c>
      <c r="P31" s="1121">
        <f>IF(H31&lt;=2,IF(AG31&lt;AI31,AJ31,AH31),"")</f>
        <v>202.58624317782218</v>
      </c>
      <c r="Q31" s="1079">
        <f>IF(AR31&lt;MAX(J31:J31),"",((((PI()*8^2)/4)/O31)*1000))</f>
        <v>132.6240990965222</v>
      </c>
      <c r="R31" s="1079">
        <f>IF(H31&lt;=2,((((PI()*8^2)/4)/P31)*1000),"")</f>
        <v>248.11893280095845</v>
      </c>
      <c r="S31" s="1079">
        <f>IF(AR31&lt;MAX(J31:J31),"",(((PI()*10^2)/4)/O31)*1000)</f>
        <v>207.22515483831597</v>
      </c>
      <c r="T31" s="1079">
        <f>IF(H31&lt;=2,((((PI()*10^2)/4)/P31)*1000),"")</f>
        <v>387.6858325014976</v>
      </c>
      <c r="U31" s="1079">
        <f>IF(AR31&lt;MAX(J31:J31),"",(((PI()*12^2)/4)/O31)*1000)</f>
        <v>298.404222967175</v>
      </c>
      <c r="V31" s="1079">
        <f>IF(H31&lt;=2,((((PI()*12^2)/4)/P31)*1000),"")</f>
        <v>558.2675988021565</v>
      </c>
      <c r="W31" s="1079"/>
      <c r="X31" s="1079"/>
      <c r="Y31" s="1075" t="str">
        <f>I31</f>
        <v>+</v>
      </c>
      <c r="Z31" s="1080"/>
      <c r="AA31" s="1081">
        <f t="shared" si="16"/>
        <v>0.75292464375</v>
      </c>
      <c r="AB31" s="1082">
        <f t="shared" si="17"/>
        <v>-3.6105</v>
      </c>
      <c r="AC31" s="1082">
        <f>(L31*1000000)/(1000*(D31-20)*(D31-20))</f>
        <v>0.9886224852071007</v>
      </c>
      <c r="AD31" s="1082">
        <f>(-AB31-SQRT((AB31*AB31)-(4*AA31*AC31)))/(2*AA31)</f>
        <v>0.2915439652362825</v>
      </c>
      <c r="AE31" s="1083">
        <f>(AD31*1000*(D31-20))/100</f>
        <v>379.0071548071673</v>
      </c>
      <c r="AF31" s="1082">
        <f>(M31*1000000)/(1000*(D31-20)*($H$4-20))</f>
        <v>0.5443597633136095</v>
      </c>
      <c r="AG31" s="1082">
        <f>(-AB31-SQRT((AB31*AB31)-(4*AA31*AF31)))/(2*AA31)</f>
        <v>0.1558355716752478</v>
      </c>
      <c r="AH31" s="1083">
        <f>(AG31*1000*(D31-20))/100</f>
        <v>202.58624317782218</v>
      </c>
      <c r="AI31" s="1084">
        <f t="shared" si="24"/>
        <v>0.12</v>
      </c>
      <c r="AJ31" s="1069">
        <f>(0.12*1000*D31)/100</f>
        <v>180</v>
      </c>
      <c r="AK31" s="1081">
        <f>IF(H31&lt;=1.1,1,IF(H31&lt;=1.2,1.1,IF(H31&lt;=1.3,1.2,IF(H31&lt;=1.4,1.3,IF(H31&lt;=1.5,1.4,IF(H31&lt;=1.75,1.5,IF(H31&lt;=2,1.75)))))))</f>
        <v>1.75</v>
      </c>
      <c r="AL31" s="1081">
        <f>IF(H31&lt;=1.1,1.1,IF(H31&lt;=1.2,1.2,IF(H31&lt;=1.3,1.3,IF(H31&lt;=1.4,1.4,IF(H31&lt;=1.5,1.5,IF(H31&lt;=1.75,1.75,IF(H31&lt;=2,2)))))))</f>
        <v>2</v>
      </c>
      <c r="AM31" s="1081">
        <f>H31</f>
        <v>1.8108108108108107</v>
      </c>
      <c r="AN31" s="1094">
        <f t="shared" si="29"/>
        <v>0.1</v>
      </c>
      <c r="AO31" s="1094">
        <f t="shared" si="29"/>
        <v>0.107</v>
      </c>
      <c r="AP31" s="1082">
        <f>AN31+((AO31-AN31)*(AM31-AK31)/(AL31-AK31))</f>
        <v>0.10170270270270271</v>
      </c>
      <c r="AQ31" s="1122">
        <f t="shared" si="31"/>
        <v>0.056</v>
      </c>
      <c r="AR31" s="1077">
        <f>((0.36*$H$5*1000*AU31*((D31-20)-(0.416*AU31))))/1000000</f>
        <v>46.67853993875843</v>
      </c>
      <c r="AS31" s="1074">
        <f>(AR31*1000000)/(1000*(D31-20)^2)</f>
        <v>2.762043783358487</v>
      </c>
      <c r="AT31" s="1084">
        <f t="shared" si="34"/>
        <v>0.4791074911878444</v>
      </c>
      <c r="AU31" s="1085">
        <f>AT31*(D31-20)</f>
        <v>62.28397385441977</v>
      </c>
      <c r="AV31" s="1074">
        <f>(L31*1000000)/(1000*(D31-20)^2)</f>
        <v>0.9886224852071007</v>
      </c>
      <c r="AW31" s="1074">
        <f>(M31*1000000)/(1000*(D31-20)^2)</f>
        <v>0.5443597633136095</v>
      </c>
      <c r="AX31" s="1086">
        <f t="shared" si="38"/>
        <v>22360679.774997897</v>
      </c>
      <c r="AY31" s="1086">
        <f>((1000*D31^3)/12)/1000000000000</f>
        <v>0.00028125</v>
      </c>
      <c r="AZ31" s="1084">
        <f>IF(H31&lt;2,((5*E31*F31^4)/(384*AX31*AY31)*1000),((5*E31*G31^4)/(384*AX31*AY31)*1000))</f>
        <v>50.06586264313727</v>
      </c>
    </row>
    <row r="32" spans="2:52" s="1067" customFormat="1" ht="31.5">
      <c r="B32" s="1119">
        <v>10</v>
      </c>
      <c r="C32" s="1120" t="s">
        <v>955</v>
      </c>
      <c r="D32" s="1071">
        <v>150</v>
      </c>
      <c r="E32" s="1072">
        <v>21</v>
      </c>
      <c r="F32" s="1073">
        <v>6.5</v>
      </c>
      <c r="G32" s="1073">
        <v>5</v>
      </c>
      <c r="H32" s="1074">
        <f>F32/G32</f>
        <v>1.3</v>
      </c>
      <c r="I32" s="1075" t="str">
        <f>IF(H32&lt;=2,"+","-")</f>
        <v>+</v>
      </c>
      <c r="J32" s="1076">
        <f>IF(H32&lt;=2,(E32*G32/2)*(1-((1/3)*(G32/F32)^2)),(E32*G32/2))</f>
        <v>42.14497041420118</v>
      </c>
      <c r="K32" s="1076">
        <f>IF(H32&lt;=2,(E32*G32/3),"")</f>
        <v>35</v>
      </c>
      <c r="L32" s="1077">
        <f>IF(H32&lt;=2,(AP32*E32*G32^2),((E32*G32^2)/8))</f>
        <v>41.475</v>
      </c>
      <c r="M32" s="1077">
        <f>IF(H32&lt;=2,(AQ32*E32*G32^2),"")</f>
        <v>29.4</v>
      </c>
      <c r="N32" s="1078" t="str">
        <f>IF(AR32&lt;MAX(L32:M32),"Increase","OK")</f>
        <v>OK</v>
      </c>
      <c r="O32" s="1121">
        <f>IF(AR32&lt;MAX(L32:M32),"",IF(AD32&lt;AI32,AJ32,AE32))</f>
        <v>1065.8897640327345</v>
      </c>
      <c r="P32" s="1121">
        <f>IF(H32&lt;=2,IF(AG32&lt;AI32,AJ32,AH32),"")</f>
        <v>706.4318907486694</v>
      </c>
      <c r="Q32" s="1079">
        <f>IF(AR32&lt;MAX(J32:J32),"",((((PI()*8^2)/4)/O32)*1000))</f>
        <v>47.15823732771393</v>
      </c>
      <c r="R32" s="1079">
        <f>IF(H32&lt;=2,((((PI()*8^2)/4)/P32)*1000),"")</f>
        <v>71.15403921553688</v>
      </c>
      <c r="S32" s="1079">
        <f>IF(AR32&lt;MAX(J32:J32),"",(((PI()*10^2)/4)/O32)*1000)</f>
        <v>73.684745824553</v>
      </c>
      <c r="T32" s="1079">
        <f>IF(H32&lt;=2,((((PI()*10^2)/4)/P32)*1000),"")</f>
        <v>111.17818627427638</v>
      </c>
      <c r="U32" s="1079">
        <f>IF(AR32&lt;MAX(J32:J32),"",(((PI()*12^2)/4)/O32)*1000)</f>
        <v>106.10603398735634</v>
      </c>
      <c r="V32" s="1079">
        <f>IF(H32&lt;=2,((((PI()*12^2)/4)/P32)*1000),"")</f>
        <v>160.09658823495798</v>
      </c>
      <c r="W32" s="1079"/>
      <c r="X32" s="1079"/>
      <c r="Y32" s="1075" t="str">
        <f>I32</f>
        <v>+</v>
      </c>
      <c r="Z32" s="1080"/>
      <c r="AA32" s="1081">
        <f t="shared" si="16"/>
        <v>0.75292464375</v>
      </c>
      <c r="AB32" s="1082">
        <f t="shared" si="17"/>
        <v>-3.6105</v>
      </c>
      <c r="AC32" s="1082">
        <f>(L32*1000000)/(1000*(D32-20)*(D32-20))</f>
        <v>2.4541420118343193</v>
      </c>
      <c r="AD32" s="1082">
        <f>(-AB32-SQRT((AB32*AB32)-(4*AA32*AC32)))/(2*AA32)</f>
        <v>0.8199152031021035</v>
      </c>
      <c r="AE32" s="1083">
        <f>(AD32*1000*(D32-20))/100</f>
        <v>1065.8897640327345</v>
      </c>
      <c r="AF32" s="1082">
        <f>(M32*1000000)/(1000*(D32-20)*($H$4-20))</f>
        <v>1.7396449704142012</v>
      </c>
      <c r="AG32" s="1082">
        <f>(-AB32-SQRT((AB32*AB32)-(4*AA32*AF32)))/(2*AA32)</f>
        <v>0.5434091467297456</v>
      </c>
      <c r="AH32" s="1083">
        <f>(AG32*1000*(D32-20))/100</f>
        <v>706.4318907486694</v>
      </c>
      <c r="AI32" s="1084">
        <f t="shared" si="24"/>
        <v>0.12</v>
      </c>
      <c r="AJ32" s="1069">
        <f>(0.12*1000*D32)/100</f>
        <v>180</v>
      </c>
      <c r="AK32" s="1081">
        <f>IF(H32&lt;=1.1,1,IF(H32&lt;=1.2,1.1,IF(H32&lt;=1.3,1.2,IF(H32&lt;=1.4,1.3,IF(H32&lt;=1.5,1.4,IF(H32&lt;=1.75,1.5,IF(H32&lt;=2,1.75)))))))</f>
        <v>1.2</v>
      </c>
      <c r="AL32" s="1081">
        <f>IF(H32&lt;=1.1,1.1,IF(H32&lt;=1.2,1.2,IF(H32&lt;=1.3,1.3,IF(H32&lt;=1.4,1.4,IF(H32&lt;=1.5,1.5,IF(H32&lt;=1.75,1.75,IF(H32&lt;=2,2)))))))</f>
        <v>1.3</v>
      </c>
      <c r="AM32" s="1081">
        <f>H32</f>
        <v>1.3</v>
      </c>
      <c r="AN32" s="1094">
        <f t="shared" si="29"/>
        <v>0.072</v>
      </c>
      <c r="AO32" s="1094">
        <f t="shared" si="29"/>
        <v>0.079</v>
      </c>
      <c r="AP32" s="1082">
        <f>AN32+((AO32-AN32)*(AM32-AK32)/(AL32-AK32))</f>
        <v>0.079</v>
      </c>
      <c r="AQ32" s="1122">
        <f t="shared" si="31"/>
        <v>0.056</v>
      </c>
      <c r="AR32" s="1077">
        <f>((0.36*$H$5*1000*AU32*((D32-20)-(0.416*AU32))))/1000000</f>
        <v>46.67853993875843</v>
      </c>
      <c r="AS32" s="1074">
        <f>(AR32*1000000)/(1000*(D32-20)^2)</f>
        <v>2.762043783358487</v>
      </c>
      <c r="AT32" s="1084">
        <f t="shared" si="34"/>
        <v>0.4791074911878444</v>
      </c>
      <c r="AU32" s="1085">
        <f>AT32*(D32-20)</f>
        <v>62.28397385441977</v>
      </c>
      <c r="AV32" s="1074">
        <f>(L32*1000000)/(1000*(D32-20)^2)</f>
        <v>2.4541420118343193</v>
      </c>
      <c r="AW32" s="1074">
        <f>(M32*1000000)/(1000*(D32-20)^2)</f>
        <v>1.7396449704142012</v>
      </c>
      <c r="AX32" s="1086">
        <f t="shared" si="38"/>
        <v>22360679.774997897</v>
      </c>
      <c r="AY32" s="1086">
        <f>((1000*D32^3)/12)/1000000000000</f>
        <v>0.00028125</v>
      </c>
      <c r="AZ32" s="1084">
        <f>IF(H32&lt;2,((5*E32*F32^4)/(384*AX32*AY32)*1000),((5*E32*G32^4)/(384*AX32*AY32)*1000))</f>
        <v>77.61291016277787</v>
      </c>
    </row>
    <row r="33" spans="2:52" s="1067" customFormat="1" ht="31.5">
      <c r="B33" s="1119">
        <v>11</v>
      </c>
      <c r="C33" s="1120" t="s">
        <v>955</v>
      </c>
      <c r="D33" s="1071">
        <v>150</v>
      </c>
      <c r="E33" s="1072">
        <v>21</v>
      </c>
      <c r="F33" s="1073">
        <v>5.8</v>
      </c>
      <c r="G33" s="1073">
        <v>4.8</v>
      </c>
      <c r="H33" s="1074">
        <f>F33/G33</f>
        <v>1.2083333333333333</v>
      </c>
      <c r="I33" s="1075" t="str">
        <f>IF(H33&lt;=2,"+","-")</f>
        <v>+</v>
      </c>
      <c r="J33" s="1076">
        <f>IF(H33&lt;=2,(E33*G33/2)*(1-((1/3)*(G33/F33)^2)),(E33*G33/2))</f>
        <v>38.893697978596904</v>
      </c>
      <c r="K33" s="1076">
        <f>IF(H33&lt;=2,(E33*G33/3),"")</f>
        <v>33.6</v>
      </c>
      <c r="L33" s="1077">
        <f>IF(H33&lt;=2,(AP33*E33*G33^2),((E33*G33^2)/8))</f>
        <v>35.11871999999999</v>
      </c>
      <c r="M33" s="1077">
        <f>IF(H33&lt;=2,(AQ33*E33*G33^2),"")</f>
        <v>27.095039999999997</v>
      </c>
      <c r="N33" s="1078" t="str">
        <f>IF(AR33&lt;MAX(L33:M33),"Increase","OK")</f>
        <v>OK</v>
      </c>
      <c r="O33" s="1121">
        <f>IF(AR33&lt;MAX(L33:M33),"",IF(AD33&lt;AI33,AJ33,AE33))</f>
        <v>869.4932428492601</v>
      </c>
      <c r="P33" s="1121">
        <f>IF(H33&lt;=2,IF(AG33&lt;AI33,AJ33,AH33),"")</f>
        <v>643.7471465143591</v>
      </c>
      <c r="Q33" s="1079">
        <f>IF(AR33&lt;MAX(J33:J33),"",((((PI()*8^2)/4)/O33)*1000))</f>
        <v>57.81008980900267</v>
      </c>
      <c r="R33" s="1079">
        <f>IF(H33&lt;=2,((((PI()*8^2)/4)/P33)*1000),"")</f>
        <v>78.08264895557949</v>
      </c>
      <c r="S33" s="1079">
        <f>IF(AR33&lt;MAX(J33:J33),"",(((PI()*10^2)/4)/O33)*1000)</f>
        <v>90.32826532656667</v>
      </c>
      <c r="T33" s="1079">
        <f>IF(H33&lt;=2,((((PI()*10^2)/4)/P33)*1000),"")</f>
        <v>122.00413899309294</v>
      </c>
      <c r="U33" s="1079">
        <f>IF(AR33&lt;MAX(J33:J33),"",(((PI()*12^2)/4)/O33)*1000)</f>
        <v>130.07270207025599</v>
      </c>
      <c r="V33" s="1079">
        <f>IF(H33&lt;=2,((((PI()*12^2)/4)/P33)*1000),"")</f>
        <v>175.68596015005383</v>
      </c>
      <c r="W33" s="1079"/>
      <c r="X33" s="1079"/>
      <c r="Y33" s="1075" t="str">
        <f>I33</f>
        <v>+</v>
      </c>
      <c r="Z33" s="1080"/>
      <c r="AA33" s="1081">
        <f t="shared" si="16"/>
        <v>0.75292464375</v>
      </c>
      <c r="AB33" s="1082">
        <f t="shared" si="17"/>
        <v>-3.6105</v>
      </c>
      <c r="AC33" s="1082">
        <f>(L33*1000000)/(1000*(D33-20)*(D33-20))</f>
        <v>2.078030769230769</v>
      </c>
      <c r="AD33" s="1082">
        <f>(-AB33-SQRT((AB33*AB33)-(4*AA33*AC33)))/(2*AA33)</f>
        <v>0.6688409560378924</v>
      </c>
      <c r="AE33" s="1083">
        <f>(AD33*1000*(D33-20))/100</f>
        <v>869.4932428492601</v>
      </c>
      <c r="AF33" s="1082">
        <f>(M33*1000000)/(1000*(D33-20)*($H$4-20))</f>
        <v>1.6032568047337277</v>
      </c>
      <c r="AG33" s="1082">
        <f>(-AB33-SQRT((AB33*AB33)-(4*AA33*AF33)))/(2*AA33)</f>
        <v>0.49519011270335317</v>
      </c>
      <c r="AH33" s="1083">
        <f>(AG33*1000*(D33-20))/100</f>
        <v>643.7471465143591</v>
      </c>
      <c r="AI33" s="1084">
        <f t="shared" si="24"/>
        <v>0.12</v>
      </c>
      <c r="AJ33" s="1069">
        <f>(0.12*1000*D33)/100</f>
        <v>180</v>
      </c>
      <c r="AK33" s="1081">
        <f>IF(H33&lt;=1.1,1,IF(H33&lt;=1.2,1.1,IF(H33&lt;=1.3,1.2,IF(H33&lt;=1.4,1.3,IF(H33&lt;=1.5,1.4,IF(H33&lt;=1.75,1.5,IF(H33&lt;=2,1.75)))))))</f>
        <v>1.2</v>
      </c>
      <c r="AL33" s="1081">
        <f>IF(H33&lt;=1.1,1.1,IF(H33&lt;=1.2,1.2,IF(H33&lt;=1.3,1.3,IF(H33&lt;=1.4,1.4,IF(H33&lt;=1.5,1.5,IF(H33&lt;=1.75,1.75,IF(H33&lt;=2,2)))))))</f>
        <v>1.3</v>
      </c>
      <c r="AM33" s="1081">
        <f>H33</f>
        <v>1.2083333333333333</v>
      </c>
      <c r="AN33" s="1094">
        <f t="shared" si="29"/>
        <v>0.072</v>
      </c>
      <c r="AO33" s="1094">
        <f t="shared" si="29"/>
        <v>0.079</v>
      </c>
      <c r="AP33" s="1082">
        <f>AN33+((AO33-AN33)*(AM33-AK33)/(AL33-AK33))</f>
        <v>0.07258333333333332</v>
      </c>
      <c r="AQ33" s="1122">
        <f t="shared" si="31"/>
        <v>0.056</v>
      </c>
      <c r="AR33" s="1077">
        <f>((0.36*$H$5*1000*AU33*((D33-20)-(0.416*AU33))))/1000000</f>
        <v>46.67853993875843</v>
      </c>
      <c r="AS33" s="1074">
        <f>(AR33*1000000)/(1000*(D33-20)^2)</f>
        <v>2.762043783358487</v>
      </c>
      <c r="AT33" s="1084">
        <f t="shared" si="34"/>
        <v>0.4791074911878444</v>
      </c>
      <c r="AU33" s="1085">
        <f>AT33*(D33-20)</f>
        <v>62.28397385441977</v>
      </c>
      <c r="AV33" s="1074">
        <f>(L33*1000000)/(1000*(D33-20)^2)</f>
        <v>2.078030769230769</v>
      </c>
      <c r="AW33" s="1074">
        <f>(M33*1000000)/(1000*(D33-20)^2)</f>
        <v>1.6032568047337277</v>
      </c>
      <c r="AX33" s="1086">
        <f t="shared" si="38"/>
        <v>22360679.774997897</v>
      </c>
      <c r="AY33" s="1086">
        <f>((1000*D33^3)/12)/1000000000000</f>
        <v>0.00028125</v>
      </c>
      <c r="AZ33" s="1084">
        <f>IF(H33&lt;2,((5*E33*F33^4)/(384*AX33*AY33)*1000),((5*E33*G33^4)/(384*AX33*AY33)*1000))</f>
        <v>49.203105628258676</v>
      </c>
    </row>
    <row r="34" spans="2:52" s="1067" customFormat="1" ht="31.5">
      <c r="B34" s="1119">
        <v>12</v>
      </c>
      <c r="C34" s="1120" t="s">
        <v>956</v>
      </c>
      <c r="D34" s="1071">
        <v>150</v>
      </c>
      <c r="E34" s="1072">
        <v>12</v>
      </c>
      <c r="F34" s="1073">
        <v>8.4</v>
      </c>
      <c r="G34" s="1073">
        <v>5.2</v>
      </c>
      <c r="H34" s="1074">
        <f>F34/G34</f>
        <v>1.6153846153846154</v>
      </c>
      <c r="I34" s="1075" t="str">
        <f>IF(H34&lt;=2,"+","-")</f>
        <v>+</v>
      </c>
      <c r="J34" s="1076">
        <f>IF(H34&lt;=2,(E34*G34/2)*(1-((1/3)*(G34/F34)^2)),(E34*G34/2))</f>
        <v>27.214512471655333</v>
      </c>
      <c r="K34" s="1076">
        <f>IF(H34&lt;=2,(E34*G34/3),"")</f>
        <v>20.8</v>
      </c>
      <c r="L34" s="1077">
        <f>IF(H34&lt;=2,(AP34*E34*G34^2),((E34*G34^2)/8))</f>
        <v>30.526080000000007</v>
      </c>
      <c r="M34" s="1077">
        <f>IF(H34&lt;=2,(AQ34*E34*G34^2),"")</f>
        <v>18.170880000000004</v>
      </c>
      <c r="N34" s="1078" t="str">
        <f>IF(AR34&lt;MAX(L34:M34),"Increase","OK")</f>
        <v>OK</v>
      </c>
      <c r="O34" s="1121">
        <f>IF(AR34&lt;MAX(L34:M34),"",IF(AD34&lt;AI34,AJ34,AE34))</f>
        <v>737.6567260694276</v>
      </c>
      <c r="P34" s="1121">
        <f>IF(H34&lt;=2,IF(AG34&lt;AI34,AJ34,AH34),"")</f>
        <v>414.7286008669261</v>
      </c>
      <c r="Q34" s="1079">
        <f>IF(AR34&lt;MAX(J34:J34),"",((((PI()*8^2)/4)/O34)*1000))</f>
        <v>68.1421055092579</v>
      </c>
      <c r="R34" s="1079">
        <f>IF(H34&lt;=2,((((PI()*8^2)/4)/P34)*1000),"")</f>
        <v>121.20090669503975</v>
      </c>
      <c r="S34" s="1079">
        <f>IF(AR34&lt;MAX(J34:J34),"",(((PI()*10^2)/4)/O34)*1000)</f>
        <v>106.47203985821548</v>
      </c>
      <c r="T34" s="1079">
        <f>IF(H34&lt;=2,((((PI()*10^2)/4)/P34)*1000),"")</f>
        <v>189.37641671099962</v>
      </c>
      <c r="U34" s="1079">
        <f>IF(AR34&lt;MAX(J34:J34),"",(((PI()*12^2)/4)/O34)*1000)</f>
        <v>153.3197373958303</v>
      </c>
      <c r="V34" s="1079">
        <f>IF(H34&lt;=2,((((PI()*12^2)/4)/P34)*1000),"")</f>
        <v>272.70204006383943</v>
      </c>
      <c r="W34" s="1079"/>
      <c r="X34" s="1079"/>
      <c r="Y34" s="1075" t="str">
        <f>I34</f>
        <v>+</v>
      </c>
      <c r="Z34" s="1080"/>
      <c r="AA34" s="1081">
        <f t="shared" si="16"/>
        <v>0.75292464375</v>
      </c>
      <c r="AB34" s="1082">
        <f t="shared" si="17"/>
        <v>-3.6105</v>
      </c>
      <c r="AC34" s="1082">
        <f>(L34*1000000)/(1000*(D34-20)*(D34-20))</f>
        <v>1.8062769230769236</v>
      </c>
      <c r="AD34" s="1082">
        <f>(-AB34-SQRT((AB34*AB34)-(4*AA34*AC34)))/(2*AA34)</f>
        <v>0.5674282508226365</v>
      </c>
      <c r="AE34" s="1083">
        <f>(AD34*1000*(D34-20))/100</f>
        <v>737.6567260694276</v>
      </c>
      <c r="AF34" s="1082">
        <f>(M34*1000000)/(1000*(D34-20)*($H$4-20))</f>
        <v>1.0752000000000002</v>
      </c>
      <c r="AG34" s="1082">
        <f>(-AB34-SQRT((AB34*AB34)-(4*AA34*AF34)))/(2*AA34)</f>
        <v>0.31902200066686626</v>
      </c>
      <c r="AH34" s="1083">
        <f>(AG34*1000*(D34-20))/100</f>
        <v>414.7286008669261</v>
      </c>
      <c r="AI34" s="1084">
        <f t="shared" si="24"/>
        <v>0.12</v>
      </c>
      <c r="AJ34" s="1069">
        <f>(0.12*1000*D34)/100</f>
        <v>180</v>
      </c>
      <c r="AK34" s="1081">
        <f>IF(H34&lt;=1.1,1,IF(H34&lt;=1.2,1.1,IF(H34&lt;=1.3,1.2,IF(H34&lt;=1.4,1.3,IF(H34&lt;=1.5,1.4,IF(H34&lt;=1.75,1.5,IF(H34&lt;=2,1.75)))))))</f>
        <v>1.5</v>
      </c>
      <c r="AL34" s="1081">
        <f>IF(H34&lt;=1.1,1.1,IF(H34&lt;=1.2,1.2,IF(H34&lt;=1.3,1.3,IF(H34&lt;=1.4,1.4,IF(H34&lt;=1.5,1.5,IF(H34&lt;=1.75,1.75,IF(H34&lt;=2,2)))))))</f>
        <v>1.75</v>
      </c>
      <c r="AM34" s="1081">
        <f>H34</f>
        <v>1.6153846153846154</v>
      </c>
      <c r="AN34" s="1094">
        <f>VLOOKUP(AK34,$AQ$10:$AR$18,2)</f>
        <v>0.089</v>
      </c>
      <c r="AO34" s="1094">
        <f>VLOOKUP(AL34,$AQ$10:$AR$18,2)</f>
        <v>0.1</v>
      </c>
      <c r="AP34" s="1082">
        <f>AN34+((AO34-AN34)*(AM34-AK34)/(AL34-AK34))</f>
        <v>0.09407692307692309</v>
      </c>
      <c r="AQ34" s="1122">
        <f t="shared" si="31"/>
        <v>0.056</v>
      </c>
      <c r="AR34" s="1077">
        <f>((0.36*$H$5*1000*AU34*((D34-20)-(0.416*AU34))))/1000000</f>
        <v>46.67853993875843</v>
      </c>
      <c r="AS34" s="1074">
        <f>(AR34*1000000)/(1000*(D34-20)^2)</f>
        <v>2.762043783358487</v>
      </c>
      <c r="AT34" s="1084">
        <f t="shared" si="34"/>
        <v>0.4791074911878444</v>
      </c>
      <c r="AU34" s="1085">
        <f>AT34*(D34-20)</f>
        <v>62.28397385441977</v>
      </c>
      <c r="AV34" s="1074">
        <f>(L34*1000000)/(1000*(D34-20)^2)</f>
        <v>1.8062769230769236</v>
      </c>
      <c r="AW34" s="1074">
        <f>(M34*1000000)/(1000*(D34-20)^2)</f>
        <v>1.0752000000000002</v>
      </c>
      <c r="AX34" s="1086">
        <f t="shared" si="38"/>
        <v>22360679.774997897</v>
      </c>
      <c r="AY34" s="1086">
        <f>((1000*D34^3)/12)/1000000000000</f>
        <v>0.00028125</v>
      </c>
      <c r="AZ34" s="1084">
        <f>IF(H34&lt;2,((5*E34*F34^4)/(384*AX34*AY34)*1000),((5*E34*G34^4)/(384*AX34*AY34)*1000))</f>
        <v>123.69713389002997</v>
      </c>
    </row>
    <row r="35" spans="2:52" s="1067" customFormat="1" ht="31.5">
      <c r="B35" s="1119">
        <v>13</v>
      </c>
      <c r="C35" s="1120" t="s">
        <v>957</v>
      </c>
      <c r="D35" s="1071">
        <v>150</v>
      </c>
      <c r="E35" s="1072">
        <v>12</v>
      </c>
      <c r="F35" s="1073">
        <v>13.6</v>
      </c>
      <c r="G35" s="1073">
        <v>3.6</v>
      </c>
      <c r="H35" s="1074">
        <f>F35/G35</f>
        <v>3.7777777777777777</v>
      </c>
      <c r="I35" s="1075" t="str">
        <f>IF(H35&lt;=2,"+","-")</f>
        <v>-</v>
      </c>
      <c r="J35" s="1076">
        <f>IF(H35&lt;=2,(E35*G35/2)*(1-((1/3)*(G35/F35)^2)),(E35*G35/2))</f>
        <v>21.6</v>
      </c>
      <c r="K35" s="1076">
        <f>IF(H35&lt;=2,(E35*G35/3),"")</f>
      </c>
      <c r="L35" s="1077">
        <f>IF(H35&lt;=2,(AP35*E35*G35^2),((E35*G35^2)/8))</f>
        <v>19.44</v>
      </c>
      <c r="M35" s="1077">
        <f>IF(H35&lt;=2,(AQ35*E35*G35^2),"")</f>
      </c>
      <c r="N35" s="1078" t="str">
        <f>IF(AR35&lt;MAX(L35:M35),"Increase","OK")</f>
        <v>OK</v>
      </c>
      <c r="O35" s="1121">
        <f>IF(AR35&lt;MAX(L35:M35),"",IF(AD35&lt;AI35,AJ35,AE35))</f>
        <v>446.09966728178455</v>
      </c>
      <c r="P35" s="1121">
        <f>IF(H35&lt;=2,IF(AG35&lt;AI35,AJ35,AH35),"")</f>
      </c>
      <c r="Q35" s="1079">
        <f>IF(AR35&lt;MAX(J35:J35),"",((((PI()*8^2)/4)/O35)*1000))</f>
        <v>112.67769546594586</v>
      </c>
      <c r="R35" s="1079">
        <f>IF(H35&lt;=2,((((PI()*8^2)/4)/P35)*1000),"")</f>
      </c>
      <c r="S35" s="1079">
        <f>IF(AR35&lt;MAX(J35:J35),"",(((PI()*10^2)/4)/O35)*1000)</f>
        <v>176.0588991655404</v>
      </c>
      <c r="T35" s="1079">
        <f>IF(H35&lt;=2,((((PI()*10^2)/4)/P35)*1000),"")</f>
      </c>
      <c r="U35" s="1079">
        <f>IF(AR35&lt;MAX(J35:J35),"",(((PI()*12^2)/4)/O35)*1000)</f>
        <v>253.52481479837817</v>
      </c>
      <c r="V35" s="1079">
        <f>IF(H35&lt;=2,((((PI()*12^2)/4)/P35)*1000),"")</f>
      </c>
      <c r="W35" s="1079"/>
      <c r="X35" s="1079"/>
      <c r="Y35" s="1075" t="str">
        <f>I35</f>
        <v>-</v>
      </c>
      <c r="Z35" s="1080"/>
      <c r="AA35" s="1081">
        <f t="shared" si="16"/>
        <v>0.75292464375</v>
      </c>
      <c r="AB35" s="1082">
        <f t="shared" si="17"/>
        <v>-3.6105</v>
      </c>
      <c r="AC35" s="1082">
        <f>(L35*1000000)/(1000*(D35-20)*(D35-20))</f>
        <v>1.1502958579881657</v>
      </c>
      <c r="AD35" s="1082">
        <f>(-AB35-SQRT((AB35*AB35)-(4*AA35*AC35)))/(2*AA35)</f>
        <v>0.3431535902167574</v>
      </c>
      <c r="AE35" s="1083">
        <f>(AD35*1000*(D35-20))/100</f>
        <v>446.09966728178455</v>
      </c>
      <c r="AF35" s="1082" t="e">
        <f>(M35*1000000)/(1000*(D35-20)*($H$4-20))</f>
        <v>#VALUE!</v>
      </c>
      <c r="AG35" s="1082" t="e">
        <f>(-AB35-SQRT((AB35*AB35)-(4*AA35*AF35)))/(2*AA35)</f>
        <v>#VALUE!</v>
      </c>
      <c r="AH35" s="1083" t="e">
        <f>(AG35*1000*(D35-20))/100</f>
        <v>#VALUE!</v>
      </c>
      <c r="AI35" s="1084">
        <f t="shared" si="24"/>
        <v>0.12</v>
      </c>
      <c r="AJ35" s="1069">
        <f>(0.12*1000*D35)/100</f>
        <v>180</v>
      </c>
      <c r="AK35" s="1081" t="b">
        <f>IF(H35&lt;=1.1,1,IF(H35&lt;=1.2,1.1,IF(H35&lt;=1.3,1.2,IF(H35&lt;=1.4,1.3,IF(H35&lt;=1.5,1.4,IF(H35&lt;=1.75,1.5,IF(H35&lt;=2,1.75)))))))</f>
        <v>0</v>
      </c>
      <c r="AL35" s="1081" t="b">
        <f>IF(H35&lt;=1.1,1.1,IF(H35&lt;=1.2,1.2,IF(H35&lt;=1.3,1.3,IF(H35&lt;=1.4,1.4,IF(H35&lt;=1.5,1.5,IF(H35&lt;=1.75,1.75,IF(H35&lt;=2,2)))))))</f>
        <v>0</v>
      </c>
      <c r="AM35" s="1081">
        <f>H35</f>
        <v>3.7777777777777777</v>
      </c>
      <c r="AN35" s="1094" t="e">
        <f>VLOOKUP(AK35,$AQ$10:$AR$18,2)</f>
        <v>#N/A</v>
      </c>
      <c r="AO35" s="1094" t="e">
        <f>VLOOKUP(AL35,$AQ$10:$AR$18,2)</f>
        <v>#N/A</v>
      </c>
      <c r="AP35" s="1082" t="e">
        <f>AN35+((AO35-AN35)*(AM35-AK35)/(AL35-AK35))</f>
        <v>#N/A</v>
      </c>
      <c r="AQ35" s="1122">
        <f t="shared" si="31"/>
        <v>0.056</v>
      </c>
      <c r="AR35" s="1077">
        <f>((0.36*$H$5*1000*AU35*((D35-20)-(0.416*AU35))))/1000000</f>
        <v>46.67853993875843</v>
      </c>
      <c r="AS35" s="1074">
        <f>(AR35*1000000)/(1000*(D35-20)^2)</f>
        <v>2.762043783358487</v>
      </c>
      <c r="AT35" s="1084">
        <f t="shared" si="34"/>
        <v>0.4791074911878444</v>
      </c>
      <c r="AU35" s="1085">
        <f>AT35*(D35-20)</f>
        <v>62.28397385441977</v>
      </c>
      <c r="AV35" s="1074">
        <f>(L35*1000000)/(1000*(D35-20)^2)</f>
        <v>1.1502958579881657</v>
      </c>
      <c r="AW35" s="1074" t="e">
        <f>(M35*1000000)/(1000*(D35-20)^2)</f>
        <v>#VALUE!</v>
      </c>
      <c r="AX35" s="1086">
        <f t="shared" si="38"/>
        <v>22360679.774997897</v>
      </c>
      <c r="AY35" s="1086">
        <f>((1000*D35^3)/12)/1000000000000</f>
        <v>0.00028125</v>
      </c>
      <c r="AZ35" s="1084">
        <f>IF(H35&lt;2,((5*E35*F35^4)/(384*AX35*AY35)*1000),((5*E35*G35^4)/(384*AX35*AY35)*1000))</f>
        <v>4.173039502329209</v>
      </c>
    </row>
    <row r="36" ht="15"/>
    <row r="37" ht="15"/>
    <row r="38" ht="15"/>
    <row r="39" ht="15"/>
    <row r="40" ht="15"/>
    <row r="41" ht="15"/>
  </sheetData>
  <sheetProtection/>
  <protectedRanges>
    <protectedRange sqref="H19 E20:G22 G4 J20:K22 H22:I22 H4:H6 E23:K35" name="Inputs"/>
  </protectedRanges>
  <mergeCells count="51">
    <mergeCell ref="H4:I4"/>
    <mergeCell ref="B2:N2"/>
    <mergeCell ref="H5:I5"/>
    <mergeCell ref="H6:I6"/>
    <mergeCell ref="H9:I9"/>
    <mergeCell ref="H10:I10"/>
    <mergeCell ref="AP10:AP18"/>
    <mergeCell ref="H11:I11"/>
    <mergeCell ref="H12:I12"/>
    <mergeCell ref="H13:I13"/>
    <mergeCell ref="H14:I14"/>
    <mergeCell ref="H19:H21"/>
    <mergeCell ref="I19:I21"/>
    <mergeCell ref="J19:K20"/>
    <mergeCell ref="L19:M20"/>
    <mergeCell ref="N19:N21"/>
    <mergeCell ref="O19:P20"/>
    <mergeCell ref="Q19:V19"/>
    <mergeCell ref="W19:X20"/>
    <mergeCell ref="Y19:Y21"/>
    <mergeCell ref="Z19:Z21"/>
    <mergeCell ref="AA19:AA21"/>
    <mergeCell ref="AB19:AB21"/>
    <mergeCell ref="AW19:AW21"/>
    <mergeCell ref="AX19:AX21"/>
    <mergeCell ref="AC19:AE19"/>
    <mergeCell ref="AF19:AH19"/>
    <mergeCell ref="AI19:AJ20"/>
    <mergeCell ref="AK19:AP19"/>
    <mergeCell ref="AQ19:AQ21"/>
    <mergeCell ref="AR19:AR20"/>
    <mergeCell ref="AE20:AE21"/>
    <mergeCell ref="AK20:AM20"/>
    <mergeCell ref="AN20:AP20"/>
    <mergeCell ref="AY19:AY21"/>
    <mergeCell ref="AF20:AF21"/>
    <mergeCell ref="AC20:AC21"/>
    <mergeCell ref="AD20:AD21"/>
    <mergeCell ref="AS19:AS21"/>
    <mergeCell ref="AT19:AT21"/>
    <mergeCell ref="AU19:AU21"/>
    <mergeCell ref="AZ19:AZ21"/>
    <mergeCell ref="B20:B21"/>
    <mergeCell ref="C20:C21"/>
    <mergeCell ref="D20:D21"/>
    <mergeCell ref="Q20:R20"/>
    <mergeCell ref="S20:T20"/>
    <mergeCell ref="U20:V20"/>
    <mergeCell ref="AV19:AV21"/>
    <mergeCell ref="AG20:AG21"/>
    <mergeCell ref="AH20:AH21"/>
  </mergeCells>
  <dataValidations count="2">
    <dataValidation type="list" allowBlank="1" showInputMessage="1" showErrorMessage="1" sqref="H5">
      <formula1>"15,20,25,30"</formula1>
    </dataValidation>
    <dataValidation type="list" allowBlank="1" showInputMessage="1" showErrorMessage="1" sqref="H6">
      <formula1>"250,415,500"</formula1>
    </dataValidation>
  </dataValidations>
  <printOptions horizontalCentered="1"/>
  <pageMargins left="0.15" right="0.15" top="0.75" bottom="0.75" header="0.3" footer="0.3"/>
  <pageSetup horizontalDpi="300" verticalDpi="300" orientation="landscape" paperSize="8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</sheetPr>
  <dimension ref="B2:O182"/>
  <sheetViews>
    <sheetView zoomScalePageLayoutView="0" workbookViewId="0" topLeftCell="A167">
      <selection activeCell="K182" sqref="B99:K182"/>
    </sheetView>
  </sheetViews>
  <sheetFormatPr defaultColWidth="9.140625" defaultRowHeight="12.75"/>
  <cols>
    <col min="1" max="1" width="5.140625" style="23" customWidth="1"/>
    <col min="2" max="3" width="2.7109375" style="23" customWidth="1"/>
    <col min="4" max="4" width="18.421875" style="23" customWidth="1"/>
    <col min="5" max="5" width="11.7109375" style="44" customWidth="1"/>
    <col min="6" max="6" width="15.00390625" style="3" customWidth="1"/>
    <col min="7" max="7" width="15.28125" style="3" customWidth="1"/>
    <col min="8" max="8" width="14.421875" style="44" customWidth="1"/>
    <col min="9" max="9" width="17.140625" style="3" customWidth="1"/>
    <col min="10" max="10" width="13.7109375" style="23" customWidth="1"/>
    <col min="11" max="11" width="3.28125" style="23" customWidth="1"/>
    <col min="12" max="12" width="9.57421875" style="23" customWidth="1"/>
    <col min="13" max="13" width="10.140625" style="23" customWidth="1"/>
    <col min="14" max="14" width="9.7109375" style="23" customWidth="1"/>
    <col min="15" max="15" width="10.28125" style="23" customWidth="1"/>
    <col min="16" max="16384" width="9.140625" style="23" customWidth="1"/>
  </cols>
  <sheetData>
    <row r="2" spans="2:11" ht="15.75">
      <c r="B2" s="1214" t="s">
        <v>202</v>
      </c>
      <c r="C2" s="1215"/>
      <c r="D2" s="1215"/>
      <c r="E2" s="1215"/>
      <c r="F2" s="1215"/>
      <c r="G2" s="1215"/>
      <c r="H2" s="1215"/>
      <c r="I2" s="1215"/>
      <c r="J2" s="1215"/>
      <c r="K2" s="1216"/>
    </row>
    <row r="4" spans="2:11" ht="12.75">
      <c r="B4" s="27"/>
      <c r="C4" s="28"/>
      <c r="D4" s="28"/>
      <c r="E4" s="159"/>
      <c r="F4" s="160"/>
      <c r="G4" s="160"/>
      <c r="H4" s="159"/>
      <c r="I4" s="160"/>
      <c r="J4" s="28"/>
      <c r="K4" s="158"/>
    </row>
    <row r="5" spans="2:11" ht="12.75">
      <c r="B5" s="53"/>
      <c r="D5" s="85" t="s">
        <v>87</v>
      </c>
      <c r="E5" s="1335" t="s">
        <v>120</v>
      </c>
      <c r="F5" s="1336"/>
      <c r="G5" s="1339" t="s">
        <v>121</v>
      </c>
      <c r="H5" s="1336"/>
      <c r="K5" s="137"/>
    </row>
    <row r="6" spans="2:11" ht="15.75">
      <c r="B6" s="53"/>
      <c r="D6" s="54" t="s">
        <v>141</v>
      </c>
      <c r="E6" s="89" t="s">
        <v>143</v>
      </c>
      <c r="F6" s="167">
        <v>12</v>
      </c>
      <c r="G6" s="44" t="s">
        <v>149</v>
      </c>
      <c r="H6" s="167">
        <v>12</v>
      </c>
      <c r="J6" s="67"/>
      <c r="K6" s="161"/>
    </row>
    <row r="7" spans="2:11" ht="15.75">
      <c r="B7" s="53"/>
      <c r="D7" s="54" t="s">
        <v>142</v>
      </c>
      <c r="E7" s="89" t="s">
        <v>144</v>
      </c>
      <c r="F7" s="166">
        <v>8</v>
      </c>
      <c r="G7" s="44" t="s">
        <v>150</v>
      </c>
      <c r="H7" s="166">
        <v>8</v>
      </c>
      <c r="J7" s="67"/>
      <c r="K7" s="161"/>
    </row>
    <row r="8" spans="2:11" ht="15.75">
      <c r="B8" s="53"/>
      <c r="D8" s="54" t="s">
        <v>171</v>
      </c>
      <c r="E8" s="89" t="s">
        <v>145</v>
      </c>
      <c r="F8" s="167">
        <v>1.5</v>
      </c>
      <c r="G8" s="44" t="s">
        <v>151</v>
      </c>
      <c r="H8" s="167">
        <v>1.5</v>
      </c>
      <c r="J8" s="67"/>
      <c r="K8" s="161"/>
    </row>
    <row r="9" spans="2:11" ht="15.75">
      <c r="B9" s="53"/>
      <c r="D9" s="54" t="s">
        <v>167</v>
      </c>
      <c r="E9" s="89" t="s">
        <v>191</v>
      </c>
      <c r="F9" s="168">
        <v>620</v>
      </c>
      <c r="G9" s="56"/>
      <c r="H9" s="90"/>
      <c r="I9" s="91"/>
      <c r="J9" s="67"/>
      <c r="K9" s="161"/>
    </row>
    <row r="10" spans="2:11" ht="15.75">
      <c r="B10" s="53"/>
      <c r="D10" s="54" t="s">
        <v>172</v>
      </c>
      <c r="E10" s="89" t="s">
        <v>192</v>
      </c>
      <c r="F10" s="168">
        <v>200</v>
      </c>
      <c r="G10" s="56"/>
      <c r="H10" s="90"/>
      <c r="I10" s="91"/>
      <c r="J10" s="67"/>
      <c r="K10" s="161"/>
    </row>
    <row r="11" spans="2:11" ht="15.75">
      <c r="B11" s="53"/>
      <c r="D11" s="54" t="s">
        <v>168</v>
      </c>
      <c r="E11" s="89" t="s">
        <v>193</v>
      </c>
      <c r="F11" s="168">
        <v>1500</v>
      </c>
      <c r="G11" s="56"/>
      <c r="H11" s="90"/>
      <c r="I11" s="91"/>
      <c r="J11" s="67"/>
      <c r="K11" s="161"/>
    </row>
    <row r="12" spans="2:11" ht="15.75">
      <c r="B12" s="53"/>
      <c r="D12" s="54" t="s">
        <v>174</v>
      </c>
      <c r="E12" s="89" t="s">
        <v>146</v>
      </c>
      <c r="F12" s="168">
        <v>110</v>
      </c>
      <c r="G12" s="56"/>
      <c r="H12" s="90"/>
      <c r="K12" s="162"/>
    </row>
    <row r="13" spans="2:11" ht="15.75">
      <c r="B13" s="53"/>
      <c r="D13" s="54" t="s">
        <v>169</v>
      </c>
      <c r="E13" s="89" t="s">
        <v>147</v>
      </c>
      <c r="F13" s="169">
        <v>20</v>
      </c>
      <c r="G13" s="94"/>
      <c r="H13" s="90"/>
      <c r="K13" s="162"/>
    </row>
    <row r="14" spans="2:11" ht="15.75">
      <c r="B14" s="53"/>
      <c r="D14" s="95" t="s">
        <v>170</v>
      </c>
      <c r="E14" s="96" t="s">
        <v>148</v>
      </c>
      <c r="F14" s="170">
        <v>415</v>
      </c>
      <c r="G14" s="97"/>
      <c r="H14" s="98"/>
      <c r="K14" s="137"/>
    </row>
    <row r="15" spans="2:11" ht="12.75">
      <c r="B15" s="53"/>
      <c r="K15" s="137"/>
    </row>
    <row r="16" spans="2:11" ht="12.75">
      <c r="B16" s="53"/>
      <c r="D16" s="3" t="s">
        <v>173</v>
      </c>
      <c r="E16" s="44" t="s">
        <v>152</v>
      </c>
      <c r="F16" s="99">
        <f>((5000*SQRT(F13)))*1000</f>
        <v>22360679.774997897</v>
      </c>
      <c r="G16" s="44"/>
      <c r="K16" s="137"/>
    </row>
    <row r="17" spans="2:11" ht="12.75">
      <c r="B17" s="53"/>
      <c r="D17" s="3"/>
      <c r="K17" s="137"/>
    </row>
    <row r="18" spans="2:11" ht="12.75">
      <c r="B18" s="53"/>
      <c r="D18" s="85" t="s">
        <v>109</v>
      </c>
      <c r="E18" s="100"/>
      <c r="K18" s="137"/>
    </row>
    <row r="19" spans="2:11" ht="12.75">
      <c r="B19" s="53"/>
      <c r="D19" s="54" t="s">
        <v>92</v>
      </c>
      <c r="E19" s="171">
        <v>3</v>
      </c>
      <c r="G19" s="44"/>
      <c r="H19" s="3"/>
      <c r="I19" s="23"/>
      <c r="K19" s="137"/>
    </row>
    <row r="20" spans="2:11" ht="12.75">
      <c r="B20" s="53"/>
      <c r="D20" s="54" t="s">
        <v>110</v>
      </c>
      <c r="E20" s="171">
        <v>1</v>
      </c>
      <c r="G20" s="44"/>
      <c r="H20" s="3"/>
      <c r="I20" s="23"/>
      <c r="K20" s="137"/>
    </row>
    <row r="21" spans="2:11" ht="12.75">
      <c r="B21" s="53"/>
      <c r="D21" s="95" t="s">
        <v>111</v>
      </c>
      <c r="E21" s="172">
        <v>0</v>
      </c>
      <c r="G21" s="44"/>
      <c r="H21" s="3"/>
      <c r="I21" s="23"/>
      <c r="K21" s="137"/>
    </row>
    <row r="22" spans="2:11" ht="12.75">
      <c r="B22" s="53"/>
      <c r="K22" s="137"/>
    </row>
    <row r="23" spans="2:11" ht="12.75">
      <c r="B23" s="53"/>
      <c r="D23" s="85" t="s">
        <v>104</v>
      </c>
      <c r="E23" s="101"/>
      <c r="F23" s="83"/>
      <c r="G23" s="86"/>
      <c r="K23" s="137"/>
    </row>
    <row r="24" spans="2:11" ht="15.75">
      <c r="B24" s="53"/>
      <c r="D24" s="54" t="s">
        <v>105</v>
      </c>
      <c r="E24" s="23"/>
      <c r="F24" s="44" t="s">
        <v>159</v>
      </c>
      <c r="G24" s="102">
        <f>25*(F12/1000)*F6*H6</f>
        <v>396</v>
      </c>
      <c r="K24" s="137"/>
    </row>
    <row r="25" spans="2:11" ht="15.75">
      <c r="B25" s="53"/>
      <c r="D25" s="54" t="s">
        <v>106</v>
      </c>
      <c r="E25" s="4"/>
      <c r="F25" s="44" t="s">
        <v>158</v>
      </c>
      <c r="G25" s="102">
        <f>25*(F10/1000)*(F9/1000)*F7*F6</f>
        <v>297.6</v>
      </c>
      <c r="K25" s="137"/>
    </row>
    <row r="26" spans="2:11" ht="15.75">
      <c r="B26" s="53"/>
      <c r="D26" s="54" t="s">
        <v>107</v>
      </c>
      <c r="E26" s="4"/>
      <c r="F26" s="44" t="s">
        <v>157</v>
      </c>
      <c r="G26" s="102">
        <f>25*(F10/1000)*(F9/1000)*H7*(H6-((F10/1000)*F7))</f>
        <v>257.92</v>
      </c>
      <c r="K26" s="137"/>
    </row>
    <row r="27" spans="2:11" ht="15.75">
      <c r="B27" s="53"/>
      <c r="D27" s="54" t="s">
        <v>108</v>
      </c>
      <c r="E27" s="3"/>
      <c r="F27" s="44" t="s">
        <v>156</v>
      </c>
      <c r="G27" s="102">
        <f>E19*F6*H6</f>
        <v>432</v>
      </c>
      <c r="K27" s="137"/>
    </row>
    <row r="28" spans="2:11" ht="15.75">
      <c r="B28" s="53"/>
      <c r="D28" s="54" t="s">
        <v>113</v>
      </c>
      <c r="E28" s="3"/>
      <c r="F28" s="44" t="s">
        <v>155</v>
      </c>
      <c r="G28" s="102">
        <f>E20*F6*H6</f>
        <v>144</v>
      </c>
      <c r="K28" s="137"/>
    </row>
    <row r="29" spans="2:11" ht="15.75">
      <c r="B29" s="53"/>
      <c r="D29" s="54" t="s">
        <v>112</v>
      </c>
      <c r="E29" s="23"/>
      <c r="F29" s="44" t="s">
        <v>154</v>
      </c>
      <c r="G29" s="102"/>
      <c r="K29" s="137"/>
    </row>
    <row r="30" spans="2:11" ht="15.75">
      <c r="B30" s="53"/>
      <c r="D30" s="93" t="s">
        <v>95</v>
      </c>
      <c r="E30" s="1342" t="s">
        <v>153</v>
      </c>
      <c r="F30" s="1342"/>
      <c r="G30" s="103">
        <f>SUM(G24:G29)</f>
        <v>1527.52</v>
      </c>
      <c r="K30" s="137"/>
    </row>
    <row r="31" spans="2:11" ht="12.75">
      <c r="B31" s="53"/>
      <c r="D31" s="93" t="s">
        <v>114</v>
      </c>
      <c r="E31" s="83"/>
      <c r="F31" s="83" t="s">
        <v>205</v>
      </c>
      <c r="G31" s="153">
        <f>G30/(F6*H6)</f>
        <v>10.607777777777777</v>
      </c>
      <c r="K31" s="137"/>
    </row>
    <row r="32" spans="2:11" ht="12.75">
      <c r="B32" s="53"/>
      <c r="D32" s="93" t="s">
        <v>204</v>
      </c>
      <c r="E32" s="62"/>
      <c r="F32" s="83" t="s">
        <v>160</v>
      </c>
      <c r="G32" s="104">
        <f>1.5*G31</f>
        <v>15.911666666666665</v>
      </c>
      <c r="K32" s="137"/>
    </row>
    <row r="33" spans="2:11" ht="12.75">
      <c r="B33" s="53"/>
      <c r="D33" s="4"/>
      <c r="F33" s="105"/>
      <c r="G33" s="105"/>
      <c r="H33" s="106"/>
      <c r="K33" s="137"/>
    </row>
    <row r="34" spans="2:11" ht="12.75">
      <c r="B34" s="53"/>
      <c r="D34" s="18" t="s">
        <v>116</v>
      </c>
      <c r="K34" s="137"/>
    </row>
    <row r="35" spans="2:11" ht="12.75">
      <c r="B35" s="53"/>
      <c r="E35" s="1340" t="s">
        <v>115</v>
      </c>
      <c r="F35" s="1341"/>
      <c r="G35" s="107"/>
      <c r="I35" s="108"/>
      <c r="K35" s="137"/>
    </row>
    <row r="36" spans="2:11" ht="15.75">
      <c r="B36" s="53"/>
      <c r="E36" s="109" t="s">
        <v>203</v>
      </c>
      <c r="F36" s="110">
        <f>F12/F9</f>
        <v>0.1774193548387097</v>
      </c>
      <c r="I36" s="108"/>
      <c r="K36" s="137"/>
    </row>
    <row r="37" spans="2:11" ht="15.75">
      <c r="B37" s="53"/>
      <c r="E37" s="96" t="s">
        <v>201</v>
      </c>
      <c r="F37" s="111">
        <f>F11/F10</f>
        <v>7.5</v>
      </c>
      <c r="K37" s="137"/>
    </row>
    <row r="38" spans="2:11" ht="12.75">
      <c r="B38" s="53"/>
      <c r="E38" s="23"/>
      <c r="F38" s="44"/>
      <c r="H38" s="3"/>
      <c r="I38" s="44"/>
      <c r="J38" s="3"/>
      <c r="K38" s="163"/>
    </row>
    <row r="39" spans="2:11" ht="12.75">
      <c r="B39" s="53"/>
      <c r="D39" s="18"/>
      <c r="E39" s="1330" t="s">
        <v>117</v>
      </c>
      <c r="F39" s="1331"/>
      <c r="G39" s="67"/>
      <c r="H39" s="67"/>
      <c r="I39" s="67"/>
      <c r="J39" s="4"/>
      <c r="K39" s="163"/>
    </row>
    <row r="40" spans="2:11" ht="15.75">
      <c r="B40" s="53"/>
      <c r="E40" s="1337" t="s">
        <v>194</v>
      </c>
      <c r="F40" s="1325"/>
      <c r="H40" s="1338"/>
      <c r="I40" s="1338"/>
      <c r="J40" s="113"/>
      <c r="K40" s="137"/>
    </row>
    <row r="41" spans="2:11" ht="15.75">
      <c r="B41" s="53"/>
      <c r="E41" s="89" t="s">
        <v>161</v>
      </c>
      <c r="F41" s="114">
        <v>2.15</v>
      </c>
      <c r="G41" s="1326" t="s">
        <v>197</v>
      </c>
      <c r="H41" s="1327"/>
      <c r="I41" s="56"/>
      <c r="K41" s="137"/>
    </row>
    <row r="42" spans="2:11" ht="12.75">
      <c r="B42" s="53"/>
      <c r="E42" s="1332">
        <f>((F41*(F10/1000)*((F9/1000)^3))/12)</f>
        <v>0.008540086666666667</v>
      </c>
      <c r="F42" s="1333"/>
      <c r="I42" s="115"/>
      <c r="K42" s="137"/>
    </row>
    <row r="43" spans="2:11" ht="12.75">
      <c r="B43" s="53"/>
      <c r="D43" s="44"/>
      <c r="E43" s="3"/>
      <c r="G43" s="44"/>
      <c r="H43" s="3"/>
      <c r="I43" s="23"/>
      <c r="K43" s="137"/>
    </row>
    <row r="44" spans="2:11" ht="12.75">
      <c r="B44" s="53"/>
      <c r="E44" s="1330" t="s">
        <v>124</v>
      </c>
      <c r="F44" s="1334"/>
      <c r="G44" s="1334"/>
      <c r="H44" s="1331"/>
      <c r="I44" s="67"/>
      <c r="K44" s="137"/>
    </row>
    <row r="45" spans="2:11" ht="14.25" customHeight="1">
      <c r="B45" s="53"/>
      <c r="E45" s="1337" t="s">
        <v>122</v>
      </c>
      <c r="F45" s="1324"/>
      <c r="G45" s="1324" t="s">
        <v>123</v>
      </c>
      <c r="H45" s="1325"/>
      <c r="K45" s="137"/>
    </row>
    <row r="46" spans="2:11" ht="12.75">
      <c r="B46" s="53"/>
      <c r="E46" s="1328">
        <f>(F16*E42)/H8</f>
        <v>127308.09546937502</v>
      </c>
      <c r="F46" s="1329"/>
      <c r="G46" s="1322">
        <f>(F16*E42)/F8</f>
        <v>127308.09546937502</v>
      </c>
      <c r="H46" s="1323"/>
      <c r="K46" s="137"/>
    </row>
    <row r="47" spans="2:11" ht="12.75">
      <c r="B47" s="53"/>
      <c r="D47" s="3"/>
      <c r="E47" s="3"/>
      <c r="F47" s="44"/>
      <c r="H47" s="23"/>
      <c r="I47" s="23"/>
      <c r="K47" s="137"/>
    </row>
    <row r="48" spans="2:11" ht="12.75">
      <c r="B48" s="53"/>
      <c r="E48" s="1330" t="s">
        <v>126</v>
      </c>
      <c r="F48" s="1331"/>
      <c r="G48" s="67"/>
      <c r="H48" s="67"/>
      <c r="I48" s="67"/>
      <c r="K48" s="137"/>
    </row>
    <row r="49" spans="2:11" ht="15">
      <c r="B49" s="53"/>
      <c r="E49" s="1356" t="s">
        <v>127</v>
      </c>
      <c r="F49" s="1357"/>
      <c r="G49" s="116"/>
      <c r="H49" s="23"/>
      <c r="I49" s="23"/>
      <c r="K49" s="137"/>
    </row>
    <row r="50" spans="2:11" ht="12.75">
      <c r="B50" s="53"/>
      <c r="E50" s="1358">
        <f>F16/(2*(1+0.15))</f>
        <v>9722034.684781695</v>
      </c>
      <c r="F50" s="1359"/>
      <c r="G50" s="117"/>
      <c r="H50" s="23"/>
      <c r="I50" s="23"/>
      <c r="K50" s="137"/>
    </row>
    <row r="51" spans="2:11" ht="12.75">
      <c r="B51" s="53"/>
      <c r="D51" s="3"/>
      <c r="E51" s="3"/>
      <c r="F51" s="44"/>
      <c r="H51" s="23"/>
      <c r="I51" s="23"/>
      <c r="K51" s="137"/>
    </row>
    <row r="52" spans="2:11" ht="12.75">
      <c r="B52" s="53"/>
      <c r="E52" s="1353" t="s">
        <v>125</v>
      </c>
      <c r="F52" s="1354"/>
      <c r="G52" s="1354"/>
      <c r="H52" s="1355"/>
      <c r="I52" s="118"/>
      <c r="K52" s="137"/>
    </row>
    <row r="53" spans="2:11" ht="15.75">
      <c r="B53" s="53"/>
      <c r="E53" s="1347" t="s">
        <v>189</v>
      </c>
      <c r="F53" s="1338"/>
      <c r="G53" s="1338" t="s">
        <v>190</v>
      </c>
      <c r="H53" s="1346"/>
      <c r="I53" s="23"/>
      <c r="K53" s="137"/>
    </row>
    <row r="54" spans="2:11" ht="12.75">
      <c r="B54" s="53"/>
      <c r="E54" s="1360">
        <f>(1-(0.63*((F10/1000)/(F9/1000))))*(((F10/1000)^3)*(F9/1000))/3</f>
        <v>0.0013173333333333336</v>
      </c>
      <c r="F54" s="1361"/>
      <c r="G54" s="1364">
        <f>(1-(0.63*((F10/1000)/(F9/1000))))*(((F9/1000)^3)*(F10/1000))/3</f>
        <v>0.012659573333333334</v>
      </c>
      <c r="H54" s="1365"/>
      <c r="I54" s="23"/>
      <c r="K54" s="137"/>
    </row>
    <row r="55" spans="2:11" ht="15.75" customHeight="1">
      <c r="B55" s="53"/>
      <c r="E55" s="120"/>
      <c r="F55" s="121"/>
      <c r="G55" s="120"/>
      <c r="H55" s="122"/>
      <c r="I55" s="23"/>
      <c r="J55" s="122"/>
      <c r="K55" s="137"/>
    </row>
    <row r="56" spans="2:11" ht="12.75">
      <c r="B56" s="53"/>
      <c r="D56" s="123"/>
      <c r="E56" s="1340" t="s">
        <v>118</v>
      </c>
      <c r="F56" s="1368"/>
      <c r="G56" s="1368"/>
      <c r="H56" s="1341"/>
      <c r="I56" s="123"/>
      <c r="K56" s="137"/>
    </row>
    <row r="57" spans="2:11" ht="15.75">
      <c r="B57" s="53"/>
      <c r="E57" s="1347" t="s">
        <v>128</v>
      </c>
      <c r="F57" s="1338"/>
      <c r="G57" s="1338" t="s">
        <v>129</v>
      </c>
      <c r="H57" s="1346"/>
      <c r="I57" s="23"/>
      <c r="K57" s="137"/>
    </row>
    <row r="58" spans="2:11" ht="12.75">
      <c r="B58" s="53"/>
      <c r="E58" s="1362">
        <f>(E50*E54)/(H8)</f>
        <v>8538.106905390503</v>
      </c>
      <c r="F58" s="1363"/>
      <c r="G58" s="1366">
        <f>(E50*G54)/(F8)</f>
        <v>82051.20736080273</v>
      </c>
      <c r="H58" s="1367"/>
      <c r="I58" s="23"/>
      <c r="K58" s="137"/>
    </row>
    <row r="59" spans="2:11" ht="12.75">
      <c r="B59" s="53"/>
      <c r="D59" s="3"/>
      <c r="E59" s="3"/>
      <c r="F59" s="44"/>
      <c r="H59" s="23"/>
      <c r="I59" s="23"/>
      <c r="K59" s="137"/>
    </row>
    <row r="60" spans="2:11" ht="15.75">
      <c r="B60" s="53"/>
      <c r="E60" s="1351" t="s">
        <v>130</v>
      </c>
      <c r="F60" s="1352"/>
      <c r="G60" s="124"/>
      <c r="H60" s="23"/>
      <c r="I60" s="23"/>
      <c r="K60" s="137"/>
    </row>
    <row r="61" spans="2:11" ht="12.75">
      <c r="B61" s="53"/>
      <c r="E61" s="1348">
        <f>E58+G58</f>
        <v>90589.31426619324</v>
      </c>
      <c r="F61" s="1349"/>
      <c r="H61" s="23"/>
      <c r="I61" s="23"/>
      <c r="K61" s="137"/>
    </row>
    <row r="62" spans="2:11" ht="12.75">
      <c r="B62" s="53"/>
      <c r="D62" s="1350"/>
      <c r="E62" s="1350"/>
      <c r="F62" s="125"/>
      <c r="G62" s="125"/>
      <c r="H62" s="125"/>
      <c r="I62" s="23"/>
      <c r="K62" s="137"/>
    </row>
    <row r="63" spans="2:11" ht="15.75">
      <c r="B63" s="53"/>
      <c r="F63" s="92" t="s">
        <v>163</v>
      </c>
      <c r="G63" s="105">
        <f>E46/F6^4</f>
        <v>6.139472196632669</v>
      </c>
      <c r="H63" s="3"/>
      <c r="I63" s="23"/>
      <c r="K63" s="137"/>
    </row>
    <row r="64" spans="2:11" ht="15.75">
      <c r="B64" s="53"/>
      <c r="F64" s="92" t="s">
        <v>164</v>
      </c>
      <c r="G64" s="105">
        <f>G46/H6^4</f>
        <v>6.139472196632669</v>
      </c>
      <c r="H64" s="3"/>
      <c r="I64" s="23"/>
      <c r="K64" s="137"/>
    </row>
    <row r="65" spans="2:11" ht="15.75">
      <c r="B65" s="53"/>
      <c r="F65" s="92" t="s">
        <v>162</v>
      </c>
      <c r="G65" s="105">
        <f>(E61)/((F6^2)*(H6^2))</f>
        <v>4.368697640152066</v>
      </c>
      <c r="H65" s="3"/>
      <c r="I65" s="23"/>
      <c r="K65" s="137"/>
    </row>
    <row r="66" spans="2:11" ht="12.75">
      <c r="B66" s="53"/>
      <c r="D66" s="44"/>
      <c r="E66" s="3"/>
      <c r="G66" s="44"/>
      <c r="H66" s="3"/>
      <c r="I66" s="23"/>
      <c r="K66" s="137"/>
    </row>
    <row r="67" spans="2:11" ht="12.75">
      <c r="B67" s="53"/>
      <c r="D67" s="18" t="s">
        <v>177</v>
      </c>
      <c r="E67" s="3"/>
      <c r="G67" s="44"/>
      <c r="H67" s="3"/>
      <c r="I67" s="23"/>
      <c r="K67" s="137"/>
    </row>
    <row r="68" spans="2:11" ht="15.75" customHeight="1">
      <c r="B68" s="53"/>
      <c r="E68" s="1369" t="s">
        <v>131</v>
      </c>
      <c r="F68" s="1370"/>
      <c r="G68" s="1370"/>
      <c r="H68" s="1371"/>
      <c r="I68" s="23"/>
      <c r="J68" s="45"/>
      <c r="K68" s="137"/>
    </row>
    <row r="69" spans="2:11" ht="15.75" customHeight="1">
      <c r="B69" s="53"/>
      <c r="E69" s="1343" t="s">
        <v>200</v>
      </c>
      <c r="F69" s="1344"/>
      <c r="G69" s="1344"/>
      <c r="H69" s="1345"/>
      <c r="I69" s="126"/>
      <c r="J69" s="45"/>
      <c r="K69" s="137"/>
    </row>
    <row r="70" spans="2:11" ht="15.75" customHeight="1">
      <c r="B70" s="53"/>
      <c r="E70" s="96"/>
      <c r="F70" s="180" t="s">
        <v>207</v>
      </c>
      <c r="G70" s="181">
        <f>((16*G32)/((G63+G64+G65)*((PI())^6)))*1000</f>
        <v>15.906831835398371</v>
      </c>
      <c r="H70" s="127"/>
      <c r="I70" s="126"/>
      <c r="J70" s="45"/>
      <c r="K70" s="137"/>
    </row>
    <row r="71" spans="2:11" ht="15.75" customHeight="1">
      <c r="B71" s="53"/>
      <c r="F71" s="128"/>
      <c r="G71" s="60"/>
      <c r="H71" s="129"/>
      <c r="I71" s="126"/>
      <c r="J71" s="45"/>
      <c r="K71" s="137"/>
    </row>
    <row r="72" spans="2:11" ht="12.75">
      <c r="B72" s="53"/>
      <c r="E72" s="1330" t="s">
        <v>119</v>
      </c>
      <c r="F72" s="1331"/>
      <c r="H72" s="67"/>
      <c r="I72" s="23"/>
      <c r="J72" s="42"/>
      <c r="K72" s="137"/>
    </row>
    <row r="73" spans="2:11" ht="16.5">
      <c r="B73" s="53"/>
      <c r="E73" s="1337" t="s">
        <v>195</v>
      </c>
      <c r="F73" s="1325"/>
      <c r="H73" s="67"/>
      <c r="I73" s="23"/>
      <c r="J73" s="42"/>
      <c r="K73" s="137"/>
    </row>
    <row r="74" spans="2:11" ht="15.75">
      <c r="B74" s="53"/>
      <c r="E74" s="96" t="s">
        <v>165</v>
      </c>
      <c r="F74" s="130">
        <f>3*G70</f>
        <v>47.720495506195114</v>
      </c>
      <c r="H74" s="23"/>
      <c r="I74" s="23"/>
      <c r="J74" s="42"/>
      <c r="K74" s="137"/>
    </row>
    <row r="75" spans="2:11" ht="12.75">
      <c r="B75" s="53"/>
      <c r="D75" s="44"/>
      <c r="E75" s="3"/>
      <c r="F75" s="42"/>
      <c r="H75" s="23"/>
      <c r="I75" s="23"/>
      <c r="J75" s="42"/>
      <c r="K75" s="137"/>
    </row>
    <row r="76" spans="2:11" ht="12.75">
      <c r="B76" s="53"/>
      <c r="E76" s="129"/>
      <c r="F76" s="129"/>
      <c r="H76" s="129"/>
      <c r="I76" s="23"/>
      <c r="J76" s="42"/>
      <c r="K76" s="137"/>
    </row>
    <row r="77" spans="2:11" ht="12.75" customHeight="1">
      <c r="B77" s="53"/>
      <c r="E77" s="1376" t="s">
        <v>175</v>
      </c>
      <c r="F77" s="1377"/>
      <c r="H77" s="129"/>
      <c r="I77" s="131"/>
      <c r="J77" s="55"/>
      <c r="K77" s="137"/>
    </row>
    <row r="78" spans="2:11" ht="12.75" customHeight="1">
      <c r="B78" s="53"/>
      <c r="E78" s="1337" t="s">
        <v>176</v>
      </c>
      <c r="F78" s="1325"/>
      <c r="H78" s="129"/>
      <c r="I78" s="131"/>
      <c r="J78" s="55"/>
      <c r="K78" s="137"/>
    </row>
    <row r="79" spans="2:11" ht="14.25" customHeight="1">
      <c r="B79" s="53"/>
      <c r="E79" s="96" t="s">
        <v>166</v>
      </c>
      <c r="F79" s="130">
        <f>((MIN(F6,H6))*1000)/250</f>
        <v>48</v>
      </c>
      <c r="H79" s="23"/>
      <c r="I79" s="23"/>
      <c r="K79" s="137"/>
    </row>
    <row r="80" spans="2:11" ht="12.75">
      <c r="B80" s="53"/>
      <c r="K80" s="137"/>
    </row>
    <row r="81" spans="2:11" ht="12.75" customHeight="1">
      <c r="B81" s="53"/>
      <c r="E81" s="1375" t="str">
        <f>IF(F74&lt;F79,"Maximum deflection including long term effects is within permissible limits i.e. Ltdefl &lt; s/d ratio","Maximum deflection including long term effects is not within the permissible limits")</f>
        <v>Maximum deflection including long term effects is within permissible limits i.e. Ltdefl &lt; s/d ratio</v>
      </c>
      <c r="F81" s="1375"/>
      <c r="G81" s="1375"/>
      <c r="H81" s="1375"/>
      <c r="I81" s="1375"/>
      <c r="J81" s="1375"/>
      <c r="K81" s="164"/>
    </row>
    <row r="82" spans="2:11" ht="12.75">
      <c r="B82" s="53"/>
      <c r="D82" s="68"/>
      <c r="E82" s="1375"/>
      <c r="F82" s="1375"/>
      <c r="G82" s="1375"/>
      <c r="H82" s="1375"/>
      <c r="I82" s="1375"/>
      <c r="J82" s="1375"/>
      <c r="K82" s="164"/>
    </row>
    <row r="83" spans="2:11" ht="12.75">
      <c r="B83" s="53"/>
      <c r="D83" s="68"/>
      <c r="E83" s="68"/>
      <c r="F83" s="68"/>
      <c r="G83" s="68"/>
      <c r="H83" s="68"/>
      <c r="I83" s="68"/>
      <c r="J83" s="68"/>
      <c r="K83" s="164"/>
    </row>
    <row r="84" spans="2:11" ht="13.5" customHeight="1">
      <c r="B84" s="53"/>
      <c r="D84" s="18" t="s">
        <v>188</v>
      </c>
      <c r="E84" s="18"/>
      <c r="F84" s="18"/>
      <c r="G84" s="68"/>
      <c r="H84" s="68"/>
      <c r="I84" s="68"/>
      <c r="J84" s="68"/>
      <c r="K84" s="164"/>
    </row>
    <row r="85" spans="2:11" ht="12.75">
      <c r="B85" s="53"/>
      <c r="K85" s="137"/>
    </row>
    <row r="86" spans="2:11" ht="12.75">
      <c r="B86" s="53"/>
      <c r="E86" s="132" t="s">
        <v>132</v>
      </c>
      <c r="F86" s="133"/>
      <c r="G86" s="133"/>
      <c r="H86" s="134"/>
      <c r="I86" s="135"/>
      <c r="K86" s="137"/>
    </row>
    <row r="87" spans="2:11" ht="16.5">
      <c r="B87" s="53"/>
      <c r="E87" s="53"/>
      <c r="F87" s="136" t="s">
        <v>181</v>
      </c>
      <c r="G87" s="44"/>
      <c r="H87" s="136" t="s">
        <v>182</v>
      </c>
      <c r="I87" s="137"/>
      <c r="J87" s="3"/>
      <c r="K87" s="137"/>
    </row>
    <row r="88" spans="2:11" ht="12.75">
      <c r="B88" s="53"/>
      <c r="E88" s="29"/>
      <c r="F88" s="138">
        <f>E46*((PI()/F6)^2)*(G70/1000)</f>
        <v>138.796004470234</v>
      </c>
      <c r="G88" s="61"/>
      <c r="H88" s="139">
        <f>E46*((PI()/H6)^2)*(G70/1000)</f>
        <v>138.796004470234</v>
      </c>
      <c r="I88" s="140"/>
      <c r="K88" s="137"/>
    </row>
    <row r="89" spans="2:11" ht="12.75">
      <c r="B89" s="53"/>
      <c r="K89" s="137"/>
    </row>
    <row r="90" spans="2:11" ht="12.75">
      <c r="B90" s="53"/>
      <c r="E90" s="85" t="s">
        <v>133</v>
      </c>
      <c r="F90" s="141"/>
      <c r="G90" s="142"/>
      <c r="H90" s="84"/>
      <c r="I90" s="84"/>
      <c r="K90" s="137"/>
    </row>
    <row r="91" spans="2:11" ht="16.5">
      <c r="B91" s="53"/>
      <c r="E91" s="53"/>
      <c r="F91" s="143" t="s">
        <v>134</v>
      </c>
      <c r="G91" s="119"/>
      <c r="K91" s="137"/>
    </row>
    <row r="92" spans="2:11" ht="12.75">
      <c r="B92" s="53"/>
      <c r="E92" s="29"/>
      <c r="F92" s="144">
        <f>(E58*(PI()^2)*(G70/1000))/((F6)*(H6))</f>
        <v>9.308560620899327</v>
      </c>
      <c r="G92" s="98"/>
      <c r="K92" s="137"/>
    </row>
    <row r="93" spans="2:11" ht="12.75">
      <c r="B93" s="53"/>
      <c r="K93" s="137"/>
    </row>
    <row r="94" spans="2:11" ht="12.75">
      <c r="B94" s="53"/>
      <c r="E94" s="85" t="s">
        <v>28</v>
      </c>
      <c r="F94" s="83"/>
      <c r="G94" s="87"/>
      <c r="H94" s="87"/>
      <c r="I94" s="88"/>
      <c r="J94" s="3"/>
      <c r="K94" s="137"/>
    </row>
    <row r="95" spans="2:11" ht="12.75">
      <c r="B95" s="53"/>
      <c r="E95" s="145"/>
      <c r="F95" s="146" t="s">
        <v>198</v>
      </c>
      <c r="G95" s="136"/>
      <c r="H95" s="146" t="s">
        <v>199</v>
      </c>
      <c r="I95" s="147"/>
      <c r="J95" s="136"/>
      <c r="K95" s="137"/>
    </row>
    <row r="96" spans="2:11" ht="12.75">
      <c r="B96" s="53"/>
      <c r="E96" s="29"/>
      <c r="F96" s="148">
        <f>((E46*((PI()/F6)^3)+(E58*((PI()^3)/(F6*H6^2)))))*(G70/1000)</f>
        <v>38.77368447111798</v>
      </c>
      <c r="G96" s="61"/>
      <c r="H96" s="149">
        <f>((E46*((PI()/H6)^3)+(E58*((PI()^3)/(H6*F6^2)))))*(G70/1000)</f>
        <v>38.77368447111798</v>
      </c>
      <c r="I96" s="98"/>
      <c r="J96" s="105"/>
      <c r="K96" s="137"/>
    </row>
    <row r="97" spans="2:11" ht="12.75">
      <c r="B97" s="53"/>
      <c r="K97" s="137"/>
    </row>
    <row r="98" spans="2:11" ht="12.75">
      <c r="B98" s="53"/>
      <c r="K98" s="137"/>
    </row>
    <row r="99" spans="2:11" ht="12.75">
      <c r="B99" s="53"/>
      <c r="D99" s="1338" t="s">
        <v>196</v>
      </c>
      <c r="E99" s="1338"/>
      <c r="F99" s="1338"/>
      <c r="G99" s="1338"/>
      <c r="H99" s="1338"/>
      <c r="I99" s="1338"/>
      <c r="J99" s="1338"/>
      <c r="K99" s="137"/>
    </row>
    <row r="100" spans="2:11" ht="12.75">
      <c r="B100" s="1372"/>
      <c r="C100" s="1373" t="s">
        <v>206</v>
      </c>
      <c r="D100" s="1335" t="s">
        <v>180</v>
      </c>
      <c r="E100" s="1336"/>
      <c r="F100" s="1339" t="s">
        <v>178</v>
      </c>
      <c r="G100" s="1339"/>
      <c r="H100" s="1339"/>
      <c r="I100" s="1339" t="s">
        <v>179</v>
      </c>
      <c r="J100" s="1336"/>
      <c r="K100" s="137"/>
    </row>
    <row r="101" spans="2:15" s="4" customFormat="1" ht="16.5">
      <c r="B101" s="1372"/>
      <c r="C101" s="1374"/>
      <c r="D101" s="183" t="s">
        <v>135</v>
      </c>
      <c r="E101" s="142" t="s">
        <v>136</v>
      </c>
      <c r="F101" s="134" t="s">
        <v>183</v>
      </c>
      <c r="G101" s="134" t="s">
        <v>184</v>
      </c>
      <c r="H101" s="134" t="s">
        <v>185</v>
      </c>
      <c r="I101" s="134" t="s">
        <v>186</v>
      </c>
      <c r="J101" s="142" t="s">
        <v>187</v>
      </c>
      <c r="K101" s="15"/>
      <c r="L101" s="44" t="s">
        <v>137</v>
      </c>
      <c r="M101" s="44" t="s">
        <v>138</v>
      </c>
      <c r="N101" s="44" t="s">
        <v>139</v>
      </c>
      <c r="O101" s="44" t="s">
        <v>140</v>
      </c>
    </row>
    <row r="102" spans="2:15" s="4" customFormat="1" ht="12.75">
      <c r="B102" s="10"/>
      <c r="C102" s="178"/>
      <c r="D102" s="10">
        <v>0</v>
      </c>
      <c r="E102" s="15">
        <v>0</v>
      </c>
      <c r="F102" s="150">
        <f aca="true" t="shared" si="0" ref="F102:F108">($F$88*L102*N102)</f>
        <v>0</v>
      </c>
      <c r="G102" s="150">
        <f aca="true" t="shared" si="1" ref="G102:G108">$H$88*L102*N102</f>
        <v>0</v>
      </c>
      <c r="H102" s="150">
        <f aca="true" t="shared" si="2" ref="H102:H108">$F$92*M102*O102</f>
        <v>9.308560620899327</v>
      </c>
      <c r="I102" s="150">
        <f aca="true" t="shared" si="3" ref="I102:I108">$F$96*M102*N102</f>
        <v>0</v>
      </c>
      <c r="J102" s="14">
        <f aca="true" t="shared" si="4" ref="J102:J108">$H$96*L102*O102</f>
        <v>0</v>
      </c>
      <c r="K102" s="15"/>
      <c r="L102" s="151">
        <f aca="true" t="shared" si="5" ref="L102:L110">SIN(RADIANS((180*(D102/$F$6))))</f>
        <v>0</v>
      </c>
      <c r="M102" s="151">
        <f aca="true" t="shared" si="6" ref="M102:M110">COS(RADIANS(180*(D102/$F$6)))</f>
        <v>1</v>
      </c>
      <c r="N102" s="151">
        <f aca="true" t="shared" si="7" ref="N102:N110">SIN(RADIANS(180*(E102/$H$6)))</f>
        <v>0</v>
      </c>
      <c r="O102" s="151">
        <f aca="true" t="shared" si="8" ref="O102:O110">COS(RADIANS(180*(E102/$H$6)))</f>
        <v>1</v>
      </c>
    </row>
    <row r="103" spans="2:15" ht="12.75">
      <c r="B103" s="53"/>
      <c r="C103" s="179"/>
      <c r="D103" s="10">
        <v>1.5</v>
      </c>
      <c r="E103" s="15">
        <v>0</v>
      </c>
      <c r="F103" s="150">
        <f t="shared" si="0"/>
        <v>0</v>
      </c>
      <c r="G103" s="150">
        <f t="shared" si="1"/>
        <v>0</v>
      </c>
      <c r="H103" s="150">
        <f t="shared" si="2"/>
        <v>8.599988634789442</v>
      </c>
      <c r="I103" s="150">
        <f t="shared" si="3"/>
        <v>0</v>
      </c>
      <c r="J103" s="14">
        <f t="shared" si="4"/>
        <v>14.83804665884841</v>
      </c>
      <c r="K103" s="137"/>
      <c r="L103" s="151">
        <f t="shared" si="5"/>
        <v>0.3826834323650898</v>
      </c>
      <c r="M103" s="151">
        <f t="shared" si="6"/>
        <v>0.9238795325112867</v>
      </c>
      <c r="N103" s="151">
        <f t="shared" si="7"/>
        <v>0</v>
      </c>
      <c r="O103" s="151">
        <f t="shared" si="8"/>
        <v>1</v>
      </c>
    </row>
    <row r="104" spans="2:15" ht="12.75">
      <c r="B104" s="53"/>
      <c r="C104" s="179"/>
      <c r="D104" s="10">
        <v>3</v>
      </c>
      <c r="E104" s="15">
        <v>0</v>
      </c>
      <c r="F104" s="150">
        <f t="shared" si="0"/>
        <v>0</v>
      </c>
      <c r="G104" s="150">
        <f t="shared" si="1"/>
        <v>0</v>
      </c>
      <c r="H104" s="150">
        <f t="shared" si="2"/>
        <v>6.582146338123973</v>
      </c>
      <c r="I104" s="150">
        <f t="shared" si="3"/>
        <v>0</v>
      </c>
      <c r="J104" s="14">
        <f t="shared" si="4"/>
        <v>27.417135221115057</v>
      </c>
      <c r="K104" s="137"/>
      <c r="L104" s="151">
        <f t="shared" si="5"/>
        <v>0.7071067811865475</v>
      </c>
      <c r="M104" s="151">
        <f t="shared" si="6"/>
        <v>0.7071067811865476</v>
      </c>
      <c r="N104" s="151">
        <f t="shared" si="7"/>
        <v>0</v>
      </c>
      <c r="O104" s="151">
        <f t="shared" si="8"/>
        <v>1</v>
      </c>
    </row>
    <row r="105" spans="2:15" ht="12.75">
      <c r="B105" s="53"/>
      <c r="C105" s="179"/>
      <c r="D105" s="10">
        <v>4.5</v>
      </c>
      <c r="E105" s="15">
        <v>0</v>
      </c>
      <c r="F105" s="150">
        <f t="shared" si="0"/>
        <v>0</v>
      </c>
      <c r="G105" s="150">
        <f t="shared" si="1"/>
        <v>0</v>
      </c>
      <c r="H105" s="150">
        <f t="shared" si="2"/>
        <v>3.562231928784266</v>
      </c>
      <c r="I105" s="150">
        <f t="shared" si="3"/>
        <v>0</v>
      </c>
      <c r="J105" s="14">
        <f t="shared" si="4"/>
        <v>35.82221348291662</v>
      </c>
      <c r="K105" s="137"/>
      <c r="L105" s="151">
        <f t="shared" si="5"/>
        <v>0.9238795325112867</v>
      </c>
      <c r="M105" s="151">
        <f t="shared" si="6"/>
        <v>0.38268343236508984</v>
      </c>
      <c r="N105" s="151">
        <f t="shared" si="7"/>
        <v>0</v>
      </c>
      <c r="O105" s="151">
        <f t="shared" si="8"/>
        <v>1</v>
      </c>
    </row>
    <row r="106" spans="2:15" ht="12.75">
      <c r="B106" s="53"/>
      <c r="C106" s="179"/>
      <c r="D106" s="10">
        <v>6</v>
      </c>
      <c r="E106" s="15">
        <v>0</v>
      </c>
      <c r="F106" s="150">
        <f t="shared" si="0"/>
        <v>0</v>
      </c>
      <c r="G106" s="150">
        <f t="shared" si="1"/>
        <v>0</v>
      </c>
      <c r="H106" s="150">
        <f t="shared" si="2"/>
        <v>5.702184331059017E-16</v>
      </c>
      <c r="I106" s="150">
        <f t="shared" si="3"/>
        <v>0</v>
      </c>
      <c r="J106" s="14">
        <f t="shared" si="4"/>
        <v>38.77368447111798</v>
      </c>
      <c r="K106" s="137"/>
      <c r="L106" s="151">
        <f t="shared" si="5"/>
        <v>1</v>
      </c>
      <c r="M106" s="151">
        <f t="shared" si="6"/>
        <v>6.1257422745431E-17</v>
      </c>
      <c r="N106" s="151">
        <f t="shared" si="7"/>
        <v>0</v>
      </c>
      <c r="O106" s="151">
        <f t="shared" si="8"/>
        <v>1</v>
      </c>
    </row>
    <row r="107" spans="2:15" ht="12.75">
      <c r="B107" s="53"/>
      <c r="C107" s="179"/>
      <c r="D107" s="10">
        <v>7.5</v>
      </c>
      <c r="E107" s="15">
        <v>0</v>
      </c>
      <c r="F107" s="150">
        <f t="shared" si="0"/>
        <v>0</v>
      </c>
      <c r="G107" s="150">
        <f t="shared" si="1"/>
        <v>0</v>
      </c>
      <c r="H107" s="150">
        <f t="shared" si="2"/>
        <v>-3.562231928784265</v>
      </c>
      <c r="I107" s="150">
        <f t="shared" si="3"/>
        <v>0</v>
      </c>
      <c r="J107" s="14">
        <f t="shared" si="4"/>
        <v>35.82221348291662</v>
      </c>
      <c r="K107" s="137"/>
      <c r="L107" s="151">
        <f t="shared" si="5"/>
        <v>0.9238795325112867</v>
      </c>
      <c r="M107" s="151">
        <f t="shared" si="6"/>
        <v>-0.3826834323650897</v>
      </c>
      <c r="N107" s="151">
        <f t="shared" si="7"/>
        <v>0</v>
      </c>
      <c r="O107" s="151">
        <f t="shared" si="8"/>
        <v>1</v>
      </c>
    </row>
    <row r="108" spans="2:15" ht="12.75">
      <c r="B108" s="53"/>
      <c r="C108" s="179"/>
      <c r="D108" s="10">
        <v>9</v>
      </c>
      <c r="E108" s="15">
        <v>0</v>
      </c>
      <c r="F108" s="150">
        <f t="shared" si="0"/>
        <v>0</v>
      </c>
      <c r="G108" s="150">
        <f t="shared" si="1"/>
        <v>0</v>
      </c>
      <c r="H108" s="150">
        <f t="shared" si="2"/>
        <v>-6.582146338123972</v>
      </c>
      <c r="I108" s="150">
        <f t="shared" si="3"/>
        <v>0</v>
      </c>
      <c r="J108" s="14">
        <f t="shared" si="4"/>
        <v>27.41713522111506</v>
      </c>
      <c r="K108" s="137"/>
      <c r="L108" s="151">
        <f t="shared" si="5"/>
        <v>0.7071067811865476</v>
      </c>
      <c r="M108" s="151">
        <f t="shared" si="6"/>
        <v>-0.7071067811865475</v>
      </c>
      <c r="N108" s="151">
        <f t="shared" si="7"/>
        <v>0</v>
      </c>
      <c r="O108" s="151">
        <f t="shared" si="8"/>
        <v>1</v>
      </c>
    </row>
    <row r="109" spans="2:15" ht="12.75">
      <c r="B109" s="53"/>
      <c r="C109" s="179"/>
      <c r="D109" s="10">
        <v>10.5</v>
      </c>
      <c r="E109" s="15">
        <v>0</v>
      </c>
      <c r="F109" s="150">
        <f>($F$88*L109*N109)</f>
        <v>0</v>
      </c>
      <c r="G109" s="150">
        <f>$H$88*L109*N109</f>
        <v>0</v>
      </c>
      <c r="H109" s="150">
        <f>$F$92*M109*O109</f>
        <v>-8.599988634789442</v>
      </c>
      <c r="I109" s="150">
        <f>$F$96*M109*N109</f>
        <v>0</v>
      </c>
      <c r="J109" s="14">
        <f>$H$96*L109*O109</f>
        <v>14.838046658848414</v>
      </c>
      <c r="K109" s="137"/>
      <c r="L109" s="151">
        <f>SIN(RADIANS((180*(D109/$F$6))))</f>
        <v>0.3826834323650899</v>
      </c>
      <c r="M109" s="151">
        <f>COS(RADIANS(180*(D109/$F$6)))</f>
        <v>-0.9238795325112867</v>
      </c>
      <c r="N109" s="151">
        <f>SIN(RADIANS(180*(E109/$H$6)))</f>
        <v>0</v>
      </c>
      <c r="O109" s="151">
        <f>COS(RADIANS(180*(E109/$H$6)))</f>
        <v>1</v>
      </c>
    </row>
    <row r="110" spans="2:15" ht="12.75">
      <c r="B110" s="53"/>
      <c r="C110" s="182"/>
      <c r="D110" s="8">
        <v>12</v>
      </c>
      <c r="E110" s="52">
        <v>0</v>
      </c>
      <c r="F110" s="152">
        <f aca="true" t="shared" si="9" ref="F110:F118">($F$88*L110*N110)</f>
        <v>0</v>
      </c>
      <c r="G110" s="152">
        <f aca="true" t="shared" si="10" ref="G110:G118">$H$88*L110*N110</f>
        <v>0</v>
      </c>
      <c r="H110" s="152">
        <f aca="true" t="shared" si="11" ref="H110:H118">$F$92*M110*O110</f>
        <v>-9.308560620899327</v>
      </c>
      <c r="I110" s="152">
        <f aca="true" t="shared" si="12" ref="I110:I118">$F$96*M110*N110</f>
        <v>0</v>
      </c>
      <c r="J110" s="13">
        <f aca="true" t="shared" si="13" ref="J110:J118">$H$96*L110*O110</f>
        <v>4.7503519620904546E-15</v>
      </c>
      <c r="K110" s="137"/>
      <c r="L110" s="151">
        <f t="shared" si="5"/>
        <v>1.22514845490862E-16</v>
      </c>
      <c r="M110" s="151">
        <f t="shared" si="6"/>
        <v>-1</v>
      </c>
      <c r="N110" s="151">
        <f t="shared" si="7"/>
        <v>0</v>
      </c>
      <c r="O110" s="151">
        <f t="shared" si="8"/>
        <v>1</v>
      </c>
    </row>
    <row r="111" spans="2:15" s="4" customFormat="1" ht="12.75">
      <c r="B111" s="10"/>
      <c r="C111" s="178"/>
      <c r="D111" s="6">
        <v>0</v>
      </c>
      <c r="E111" s="51">
        <v>1.5</v>
      </c>
      <c r="F111" s="150">
        <f t="shared" si="9"/>
        <v>0</v>
      </c>
      <c r="G111" s="150">
        <f t="shared" si="10"/>
        <v>0</v>
      </c>
      <c r="H111" s="150">
        <f t="shared" si="11"/>
        <v>8.599988634789442</v>
      </c>
      <c r="I111" s="150">
        <f t="shared" si="12"/>
        <v>14.83804665884841</v>
      </c>
      <c r="J111" s="14">
        <f t="shared" si="13"/>
        <v>0</v>
      </c>
      <c r="K111" s="15"/>
      <c r="L111" s="151">
        <f aca="true" t="shared" si="14" ref="L111:L174">SIN(RADIANS((180*(D111/$F$6))))</f>
        <v>0</v>
      </c>
      <c r="M111" s="151">
        <f aca="true" t="shared" si="15" ref="M111:M174">COS(RADIANS(180*(D111/$F$6)))</f>
        <v>1</v>
      </c>
      <c r="N111" s="151">
        <f aca="true" t="shared" si="16" ref="N111:N174">SIN(RADIANS(180*(E111/$H$6)))</f>
        <v>0.3826834323650898</v>
      </c>
      <c r="O111" s="151">
        <f aca="true" t="shared" si="17" ref="O111:O174">COS(RADIANS(180*(E111/$H$6)))</f>
        <v>0.9238795325112867</v>
      </c>
    </row>
    <row r="112" spans="2:15" ht="12.75">
      <c r="B112" s="53"/>
      <c r="C112" s="179"/>
      <c r="D112" s="10">
        <v>1.5</v>
      </c>
      <c r="E112" s="15">
        <v>1.5</v>
      </c>
      <c r="F112" s="150">
        <f t="shared" si="9"/>
        <v>20.32620425386659</v>
      </c>
      <c r="G112" s="150">
        <f t="shared" si="10"/>
        <v>20.32620425386659</v>
      </c>
      <c r="H112" s="150">
        <f t="shared" si="11"/>
        <v>7.945353479511649</v>
      </c>
      <c r="I112" s="150">
        <f t="shared" si="12"/>
        <v>13.708567610557528</v>
      </c>
      <c r="J112" s="14">
        <f t="shared" si="13"/>
        <v>13.70856761055753</v>
      </c>
      <c r="K112" s="137"/>
      <c r="L112" s="151">
        <f t="shared" si="14"/>
        <v>0.3826834323650898</v>
      </c>
      <c r="M112" s="151">
        <f t="shared" si="15"/>
        <v>0.9238795325112867</v>
      </c>
      <c r="N112" s="151">
        <f t="shared" si="16"/>
        <v>0.3826834323650898</v>
      </c>
      <c r="O112" s="151">
        <f t="shared" si="17"/>
        <v>0.9238795325112867</v>
      </c>
    </row>
    <row r="113" spans="2:15" ht="12.75">
      <c r="B113" s="53"/>
      <c r="C113" s="179"/>
      <c r="D113" s="10">
        <v>3</v>
      </c>
      <c r="E113" s="15">
        <v>1.5</v>
      </c>
      <c r="F113" s="150">
        <f t="shared" si="9"/>
        <v>37.55792816758238</v>
      </c>
      <c r="G113" s="150">
        <f t="shared" si="10"/>
        <v>37.55792816758238</v>
      </c>
      <c r="H113" s="150">
        <f t="shared" si="11"/>
        <v>6.081110281786854</v>
      </c>
      <c r="I113" s="150">
        <f t="shared" si="12"/>
        <v>10.492083412034106</v>
      </c>
      <c r="J113" s="14">
        <f t="shared" si="13"/>
        <v>25.330130070882515</v>
      </c>
      <c r="K113" s="137"/>
      <c r="L113" s="151">
        <f t="shared" si="14"/>
        <v>0.7071067811865475</v>
      </c>
      <c r="M113" s="151">
        <f t="shared" si="15"/>
        <v>0.7071067811865476</v>
      </c>
      <c r="N113" s="151">
        <f t="shared" si="16"/>
        <v>0.3826834323650898</v>
      </c>
      <c r="O113" s="151">
        <f t="shared" si="17"/>
        <v>0.9238795325112867</v>
      </c>
    </row>
    <row r="114" spans="2:15" ht="12.75">
      <c r="B114" s="53"/>
      <c r="C114" s="179"/>
      <c r="D114" s="10">
        <v>4.5</v>
      </c>
      <c r="E114" s="15">
        <v>1.5</v>
      </c>
      <c r="F114" s="150">
        <f t="shared" si="9"/>
        <v>49.07179798125042</v>
      </c>
      <c r="G114" s="150">
        <f t="shared" si="10"/>
        <v>49.07179798125042</v>
      </c>
      <c r="H114" s="150">
        <f t="shared" si="11"/>
        <v>3.291073169061987</v>
      </c>
      <c r="I114" s="150">
        <f t="shared" si="12"/>
        <v>5.678274625001463</v>
      </c>
      <c r="J114" s="14">
        <f t="shared" si="13"/>
        <v>33.09540984611652</v>
      </c>
      <c r="K114" s="137"/>
      <c r="L114" s="151">
        <f t="shared" si="14"/>
        <v>0.9238795325112867</v>
      </c>
      <c r="M114" s="151">
        <f t="shared" si="15"/>
        <v>0.38268343236508984</v>
      </c>
      <c r="N114" s="151">
        <f t="shared" si="16"/>
        <v>0.3826834323650898</v>
      </c>
      <c r="O114" s="151">
        <f t="shared" si="17"/>
        <v>0.9238795325112867</v>
      </c>
    </row>
    <row r="115" spans="2:15" ht="12.75">
      <c r="B115" s="53"/>
      <c r="C115" s="179"/>
      <c r="D115" s="10">
        <v>6</v>
      </c>
      <c r="E115" s="15">
        <v>1.5</v>
      </c>
      <c r="F115" s="150">
        <f t="shared" si="9"/>
        <v>53.1149313892295</v>
      </c>
      <c r="G115" s="150">
        <f t="shared" si="10"/>
        <v>53.1149313892295</v>
      </c>
      <c r="H115" s="150">
        <f t="shared" si="11"/>
        <v>5.268131394071988E-16</v>
      </c>
      <c r="I115" s="150">
        <f t="shared" si="12"/>
        <v>9.08940496897507E-16</v>
      </c>
      <c r="J115" s="14">
        <f t="shared" si="13"/>
        <v>35.82221348291662</v>
      </c>
      <c r="K115" s="137"/>
      <c r="L115" s="151">
        <f t="shared" si="14"/>
        <v>1</v>
      </c>
      <c r="M115" s="151">
        <f t="shared" si="15"/>
        <v>6.1257422745431E-17</v>
      </c>
      <c r="N115" s="151">
        <f t="shared" si="16"/>
        <v>0.3826834323650898</v>
      </c>
      <c r="O115" s="151">
        <f t="shared" si="17"/>
        <v>0.9238795325112867</v>
      </c>
    </row>
    <row r="116" spans="2:15" ht="12.75">
      <c r="B116" s="53"/>
      <c r="C116" s="179"/>
      <c r="D116" s="10">
        <v>7.5</v>
      </c>
      <c r="E116" s="15">
        <v>1.5</v>
      </c>
      <c r="F116" s="150">
        <f t="shared" si="9"/>
        <v>49.07179798125042</v>
      </c>
      <c r="G116" s="150">
        <f t="shared" si="10"/>
        <v>49.07179798125042</v>
      </c>
      <c r="H116" s="150">
        <f t="shared" si="11"/>
        <v>-3.291073169061986</v>
      </c>
      <c r="I116" s="150">
        <f t="shared" si="12"/>
        <v>-5.678274625001461</v>
      </c>
      <c r="J116" s="14">
        <f t="shared" si="13"/>
        <v>33.09540984611652</v>
      </c>
      <c r="K116" s="137"/>
      <c r="L116" s="151">
        <f t="shared" si="14"/>
        <v>0.9238795325112867</v>
      </c>
      <c r="M116" s="151">
        <f t="shared" si="15"/>
        <v>-0.3826834323650897</v>
      </c>
      <c r="N116" s="151">
        <f t="shared" si="16"/>
        <v>0.3826834323650898</v>
      </c>
      <c r="O116" s="151">
        <f t="shared" si="17"/>
        <v>0.9238795325112867</v>
      </c>
    </row>
    <row r="117" spans="2:15" ht="12.75">
      <c r="B117" s="53"/>
      <c r="C117" s="179"/>
      <c r="D117" s="10">
        <v>9</v>
      </c>
      <c r="E117" s="15">
        <v>1.5</v>
      </c>
      <c r="F117" s="150">
        <f t="shared" si="9"/>
        <v>37.55792816758239</v>
      </c>
      <c r="G117" s="150">
        <f t="shared" si="10"/>
        <v>37.55792816758239</v>
      </c>
      <c r="H117" s="150">
        <f t="shared" si="11"/>
        <v>-6.081110281786853</v>
      </c>
      <c r="I117" s="150">
        <f t="shared" si="12"/>
        <v>-10.492083412034106</v>
      </c>
      <c r="J117" s="14">
        <f t="shared" si="13"/>
        <v>25.330130070882515</v>
      </c>
      <c r="K117" s="137"/>
      <c r="L117" s="151">
        <f t="shared" si="14"/>
        <v>0.7071067811865476</v>
      </c>
      <c r="M117" s="151">
        <f t="shared" si="15"/>
        <v>-0.7071067811865475</v>
      </c>
      <c r="N117" s="151">
        <f t="shared" si="16"/>
        <v>0.3826834323650898</v>
      </c>
      <c r="O117" s="151">
        <f t="shared" si="17"/>
        <v>0.9238795325112867</v>
      </c>
    </row>
    <row r="118" spans="2:15" ht="12.75">
      <c r="B118" s="53"/>
      <c r="C118" s="179"/>
      <c r="D118" s="10">
        <v>10.5</v>
      </c>
      <c r="E118" s="15">
        <v>1.5</v>
      </c>
      <c r="F118" s="150">
        <f t="shared" si="9"/>
        <v>20.326204253866596</v>
      </c>
      <c r="G118" s="150">
        <f t="shared" si="10"/>
        <v>20.326204253866596</v>
      </c>
      <c r="H118" s="150">
        <f t="shared" si="11"/>
        <v>-7.945353479511649</v>
      </c>
      <c r="I118" s="150">
        <f t="shared" si="12"/>
        <v>-13.708567610557528</v>
      </c>
      <c r="J118" s="14">
        <f t="shared" si="13"/>
        <v>13.708567610557534</v>
      </c>
      <c r="K118" s="137"/>
      <c r="L118" s="151">
        <f t="shared" si="14"/>
        <v>0.3826834323650899</v>
      </c>
      <c r="M118" s="151">
        <f t="shared" si="15"/>
        <v>-0.9238795325112867</v>
      </c>
      <c r="N118" s="151">
        <f t="shared" si="16"/>
        <v>0.3826834323650898</v>
      </c>
      <c r="O118" s="151">
        <f t="shared" si="17"/>
        <v>0.9238795325112867</v>
      </c>
    </row>
    <row r="119" spans="2:15" ht="12.75">
      <c r="B119" s="53"/>
      <c r="C119" s="182"/>
      <c r="D119" s="8">
        <v>12</v>
      </c>
      <c r="E119" s="52">
        <v>1.5</v>
      </c>
      <c r="F119" s="152">
        <f aca="true" t="shared" si="18" ref="F119:F182">($F$88*L119*N119)</f>
        <v>6.507367612409188E-15</v>
      </c>
      <c r="G119" s="152">
        <f aca="true" t="shared" si="19" ref="G119:G182">$H$88*L119*N119</f>
        <v>6.507367612409188E-15</v>
      </c>
      <c r="H119" s="152">
        <f aca="true" t="shared" si="20" ref="H119:H182">$F$92*M119*O119</f>
        <v>-8.599988634789442</v>
      </c>
      <c r="I119" s="152">
        <f aca="true" t="shared" si="21" ref="I119:I182">$F$96*M119*N119</f>
        <v>-14.83804665884841</v>
      </c>
      <c r="J119" s="13">
        <f aca="true" t="shared" si="22" ref="J119:J182">$H$96*L119*O119</f>
        <v>4.388752950000203E-15</v>
      </c>
      <c r="K119" s="137"/>
      <c r="L119" s="151">
        <f t="shared" si="14"/>
        <v>1.22514845490862E-16</v>
      </c>
      <c r="M119" s="151">
        <f t="shared" si="15"/>
        <v>-1</v>
      </c>
      <c r="N119" s="151">
        <f t="shared" si="16"/>
        <v>0.3826834323650898</v>
      </c>
      <c r="O119" s="151">
        <f t="shared" si="17"/>
        <v>0.9238795325112867</v>
      </c>
    </row>
    <row r="120" spans="2:15" s="4" customFormat="1" ht="12.75">
      <c r="B120" s="10"/>
      <c r="C120" s="178"/>
      <c r="D120" s="6">
        <v>0</v>
      </c>
      <c r="E120" s="51">
        <v>3</v>
      </c>
      <c r="F120" s="150">
        <f t="shared" si="18"/>
        <v>0</v>
      </c>
      <c r="G120" s="150">
        <f t="shared" si="19"/>
        <v>0</v>
      </c>
      <c r="H120" s="150">
        <f t="shared" si="20"/>
        <v>6.582146338123973</v>
      </c>
      <c r="I120" s="150">
        <f t="shared" si="21"/>
        <v>27.417135221115057</v>
      </c>
      <c r="J120" s="14">
        <f t="shared" si="22"/>
        <v>0</v>
      </c>
      <c r="K120" s="15"/>
      <c r="L120" s="151">
        <f t="shared" si="14"/>
        <v>0</v>
      </c>
      <c r="M120" s="151">
        <f t="shared" si="15"/>
        <v>1</v>
      </c>
      <c r="N120" s="151">
        <f t="shared" si="16"/>
        <v>0.7071067811865475</v>
      </c>
      <c r="O120" s="151">
        <f t="shared" si="17"/>
        <v>0.7071067811865476</v>
      </c>
    </row>
    <row r="121" spans="2:15" ht="12.75">
      <c r="B121" s="53"/>
      <c r="C121" s="179"/>
      <c r="D121" s="10">
        <v>1.5</v>
      </c>
      <c r="E121" s="15">
        <v>3</v>
      </c>
      <c r="F121" s="150">
        <f t="shared" si="18"/>
        <v>37.55792816758238</v>
      </c>
      <c r="G121" s="150">
        <f t="shared" si="19"/>
        <v>37.55792816758238</v>
      </c>
      <c r="H121" s="150">
        <f t="shared" si="20"/>
        <v>6.081110281786854</v>
      </c>
      <c r="I121" s="150">
        <f t="shared" si="21"/>
        <v>25.33013007088251</v>
      </c>
      <c r="J121" s="14">
        <f t="shared" si="22"/>
        <v>10.492083412034107</v>
      </c>
      <c r="K121" s="137"/>
      <c r="L121" s="151">
        <f t="shared" si="14"/>
        <v>0.3826834323650898</v>
      </c>
      <c r="M121" s="151">
        <f t="shared" si="15"/>
        <v>0.9238795325112867</v>
      </c>
      <c r="N121" s="151">
        <f t="shared" si="16"/>
        <v>0.7071067811865475</v>
      </c>
      <c r="O121" s="151">
        <f t="shared" si="17"/>
        <v>0.7071067811865476</v>
      </c>
    </row>
    <row r="122" spans="2:15" ht="12.75">
      <c r="B122" s="53"/>
      <c r="C122" s="179"/>
      <c r="D122" s="10">
        <v>3</v>
      </c>
      <c r="E122" s="15">
        <v>3</v>
      </c>
      <c r="F122" s="150">
        <f t="shared" si="18"/>
        <v>69.39800223511699</v>
      </c>
      <c r="G122" s="150">
        <f t="shared" si="19"/>
        <v>69.39800223511699</v>
      </c>
      <c r="H122" s="150">
        <f t="shared" si="20"/>
        <v>4.654280310449663</v>
      </c>
      <c r="I122" s="150">
        <f t="shared" si="21"/>
        <v>19.38684223555899</v>
      </c>
      <c r="J122" s="14">
        <f t="shared" si="22"/>
        <v>19.38684223555899</v>
      </c>
      <c r="K122" s="137"/>
      <c r="L122" s="151">
        <f t="shared" si="14"/>
        <v>0.7071067811865475</v>
      </c>
      <c r="M122" s="151">
        <f t="shared" si="15"/>
        <v>0.7071067811865476</v>
      </c>
      <c r="N122" s="151">
        <f t="shared" si="16"/>
        <v>0.7071067811865475</v>
      </c>
      <c r="O122" s="151">
        <f t="shared" si="17"/>
        <v>0.7071067811865476</v>
      </c>
    </row>
    <row r="123" spans="2:15" ht="12.75">
      <c r="B123" s="53"/>
      <c r="C123" s="179"/>
      <c r="D123" s="10">
        <v>4.5</v>
      </c>
      <c r="E123" s="15">
        <v>3</v>
      </c>
      <c r="F123" s="150">
        <f t="shared" si="18"/>
        <v>90.67285955681189</v>
      </c>
      <c r="G123" s="150">
        <f t="shared" si="19"/>
        <v>90.67285955681189</v>
      </c>
      <c r="H123" s="150">
        <f t="shared" si="20"/>
        <v>2.5188783530025893</v>
      </c>
      <c r="I123" s="150">
        <f t="shared" si="21"/>
        <v>10.492083412034106</v>
      </c>
      <c r="J123" s="14">
        <f t="shared" si="22"/>
        <v>25.330130070882515</v>
      </c>
      <c r="K123" s="137"/>
      <c r="L123" s="151">
        <f t="shared" si="14"/>
        <v>0.9238795325112867</v>
      </c>
      <c r="M123" s="151">
        <f t="shared" si="15"/>
        <v>0.38268343236508984</v>
      </c>
      <c r="N123" s="151">
        <f t="shared" si="16"/>
        <v>0.7071067811865475</v>
      </c>
      <c r="O123" s="151">
        <f t="shared" si="17"/>
        <v>0.7071067811865476</v>
      </c>
    </row>
    <row r="124" spans="2:15" ht="12.75">
      <c r="B124" s="53"/>
      <c r="C124" s="179"/>
      <c r="D124" s="10">
        <v>6</v>
      </c>
      <c r="E124" s="15">
        <v>3</v>
      </c>
      <c r="F124" s="150">
        <f t="shared" si="18"/>
        <v>98.14359596250083</v>
      </c>
      <c r="G124" s="150">
        <f t="shared" si="19"/>
        <v>98.14359596250083</v>
      </c>
      <c r="H124" s="150">
        <f t="shared" si="20"/>
        <v>4.0320532080675084E-16</v>
      </c>
      <c r="I124" s="150">
        <f t="shared" si="21"/>
        <v>1.6795030427084908E-15</v>
      </c>
      <c r="J124" s="14">
        <f t="shared" si="22"/>
        <v>27.41713522111506</v>
      </c>
      <c r="K124" s="137"/>
      <c r="L124" s="151">
        <f t="shared" si="14"/>
        <v>1</v>
      </c>
      <c r="M124" s="151">
        <f t="shared" si="15"/>
        <v>6.1257422745431E-17</v>
      </c>
      <c r="N124" s="151">
        <f t="shared" si="16"/>
        <v>0.7071067811865475</v>
      </c>
      <c r="O124" s="151">
        <f t="shared" si="17"/>
        <v>0.7071067811865476</v>
      </c>
    </row>
    <row r="125" spans="2:15" ht="12.75">
      <c r="B125" s="53"/>
      <c r="C125" s="179"/>
      <c r="D125" s="10">
        <v>7.5</v>
      </c>
      <c r="E125" s="15">
        <v>3</v>
      </c>
      <c r="F125" s="150">
        <f t="shared" si="18"/>
        <v>90.67285955681189</v>
      </c>
      <c r="G125" s="150">
        <f t="shared" si="19"/>
        <v>90.67285955681189</v>
      </c>
      <c r="H125" s="150">
        <f t="shared" si="20"/>
        <v>-2.518878353002589</v>
      </c>
      <c r="I125" s="150">
        <f t="shared" si="21"/>
        <v>-10.492083412034102</v>
      </c>
      <c r="J125" s="14">
        <f t="shared" si="22"/>
        <v>25.330130070882515</v>
      </c>
      <c r="K125" s="137"/>
      <c r="L125" s="151">
        <f t="shared" si="14"/>
        <v>0.9238795325112867</v>
      </c>
      <c r="M125" s="151">
        <f t="shared" si="15"/>
        <v>-0.3826834323650897</v>
      </c>
      <c r="N125" s="151">
        <f t="shared" si="16"/>
        <v>0.7071067811865475</v>
      </c>
      <c r="O125" s="151">
        <f t="shared" si="17"/>
        <v>0.7071067811865476</v>
      </c>
    </row>
    <row r="126" spans="2:15" ht="12.75">
      <c r="B126" s="53"/>
      <c r="C126" s="179"/>
      <c r="D126" s="10">
        <v>9</v>
      </c>
      <c r="E126" s="15">
        <v>3</v>
      </c>
      <c r="F126" s="150">
        <f t="shared" si="18"/>
        <v>69.398002235117</v>
      </c>
      <c r="G126" s="150">
        <f t="shared" si="19"/>
        <v>69.398002235117</v>
      </c>
      <c r="H126" s="150">
        <f t="shared" si="20"/>
        <v>-4.654280310449663</v>
      </c>
      <c r="I126" s="150">
        <f t="shared" si="21"/>
        <v>-19.386842235558987</v>
      </c>
      <c r="J126" s="14">
        <f t="shared" si="22"/>
        <v>19.386842235558994</v>
      </c>
      <c r="K126" s="137"/>
      <c r="L126" s="151">
        <f t="shared" si="14"/>
        <v>0.7071067811865476</v>
      </c>
      <c r="M126" s="151">
        <f t="shared" si="15"/>
        <v>-0.7071067811865475</v>
      </c>
      <c r="N126" s="151">
        <f t="shared" si="16"/>
        <v>0.7071067811865475</v>
      </c>
      <c r="O126" s="151">
        <f t="shared" si="17"/>
        <v>0.7071067811865476</v>
      </c>
    </row>
    <row r="127" spans="2:15" ht="12.75">
      <c r="B127" s="53"/>
      <c r="C127" s="179"/>
      <c r="D127" s="10">
        <v>10.5</v>
      </c>
      <c r="E127" s="15">
        <v>3</v>
      </c>
      <c r="F127" s="150">
        <f t="shared" si="18"/>
        <v>37.557928167582396</v>
      </c>
      <c r="G127" s="150">
        <f t="shared" si="19"/>
        <v>37.557928167582396</v>
      </c>
      <c r="H127" s="150">
        <f t="shared" si="20"/>
        <v>-6.081110281786854</v>
      </c>
      <c r="I127" s="150">
        <f t="shared" si="21"/>
        <v>-25.33013007088251</v>
      </c>
      <c r="J127" s="14">
        <f t="shared" si="22"/>
        <v>10.492083412034109</v>
      </c>
      <c r="K127" s="137"/>
      <c r="L127" s="151">
        <f t="shared" si="14"/>
        <v>0.3826834323650899</v>
      </c>
      <c r="M127" s="151">
        <f t="shared" si="15"/>
        <v>-0.9238795325112867</v>
      </c>
      <c r="N127" s="151">
        <f t="shared" si="16"/>
        <v>0.7071067811865475</v>
      </c>
      <c r="O127" s="151">
        <f t="shared" si="17"/>
        <v>0.7071067811865476</v>
      </c>
    </row>
    <row r="128" spans="2:15" ht="12.75">
      <c r="B128" s="53"/>
      <c r="C128" s="182"/>
      <c r="D128" s="8">
        <v>12</v>
      </c>
      <c r="E128" s="52">
        <v>3</v>
      </c>
      <c r="F128" s="152">
        <f t="shared" si="18"/>
        <v>1.2024047495263377E-14</v>
      </c>
      <c r="G128" s="152">
        <f t="shared" si="19"/>
        <v>1.2024047495263377E-14</v>
      </c>
      <c r="H128" s="152">
        <f t="shared" si="20"/>
        <v>-6.582146338123973</v>
      </c>
      <c r="I128" s="152">
        <f t="shared" si="21"/>
        <v>-27.417135221115057</v>
      </c>
      <c r="J128" s="13">
        <f t="shared" si="22"/>
        <v>3.359006085416982E-15</v>
      </c>
      <c r="K128" s="137"/>
      <c r="L128" s="151">
        <f t="shared" si="14"/>
        <v>1.22514845490862E-16</v>
      </c>
      <c r="M128" s="151">
        <f t="shared" si="15"/>
        <v>-1</v>
      </c>
      <c r="N128" s="151">
        <f t="shared" si="16"/>
        <v>0.7071067811865475</v>
      </c>
      <c r="O128" s="151">
        <f t="shared" si="17"/>
        <v>0.7071067811865476</v>
      </c>
    </row>
    <row r="129" spans="2:15" s="4" customFormat="1" ht="12.75">
      <c r="B129" s="10"/>
      <c r="C129" s="178"/>
      <c r="D129" s="6">
        <v>0</v>
      </c>
      <c r="E129" s="51">
        <v>4.5</v>
      </c>
      <c r="F129" s="150">
        <f t="shared" si="18"/>
        <v>0</v>
      </c>
      <c r="G129" s="150">
        <f t="shared" si="19"/>
        <v>0</v>
      </c>
      <c r="H129" s="150">
        <f t="shared" si="20"/>
        <v>3.562231928784266</v>
      </c>
      <c r="I129" s="150">
        <f t="shared" si="21"/>
        <v>35.82221348291662</v>
      </c>
      <c r="J129" s="14">
        <f t="shared" si="22"/>
        <v>0</v>
      </c>
      <c r="K129" s="15"/>
      <c r="L129" s="151">
        <f t="shared" si="14"/>
        <v>0</v>
      </c>
      <c r="M129" s="151">
        <f t="shared" si="15"/>
        <v>1</v>
      </c>
      <c r="N129" s="151">
        <f t="shared" si="16"/>
        <v>0.9238795325112867</v>
      </c>
      <c r="O129" s="151">
        <f t="shared" si="17"/>
        <v>0.38268343236508984</v>
      </c>
    </row>
    <row r="130" spans="2:15" ht="12.75">
      <c r="B130" s="53"/>
      <c r="C130" s="179"/>
      <c r="D130" s="10">
        <v>1.5</v>
      </c>
      <c r="E130" s="15">
        <v>4.5</v>
      </c>
      <c r="F130" s="150">
        <f t="shared" si="18"/>
        <v>49.07179798125042</v>
      </c>
      <c r="G130" s="150">
        <f t="shared" si="19"/>
        <v>49.07179798125042</v>
      </c>
      <c r="H130" s="150">
        <f t="shared" si="20"/>
        <v>3.2910731690619865</v>
      </c>
      <c r="I130" s="150">
        <f t="shared" si="21"/>
        <v>33.09540984611652</v>
      </c>
      <c r="J130" s="14">
        <f t="shared" si="22"/>
        <v>5.678274625001463</v>
      </c>
      <c r="K130" s="137"/>
      <c r="L130" s="151">
        <f t="shared" si="14"/>
        <v>0.3826834323650898</v>
      </c>
      <c r="M130" s="151">
        <f t="shared" si="15"/>
        <v>0.9238795325112867</v>
      </c>
      <c r="N130" s="151">
        <f t="shared" si="16"/>
        <v>0.9238795325112867</v>
      </c>
      <c r="O130" s="151">
        <f t="shared" si="17"/>
        <v>0.38268343236508984</v>
      </c>
    </row>
    <row r="131" spans="2:15" ht="12.75">
      <c r="B131" s="53"/>
      <c r="C131" s="179"/>
      <c r="D131" s="10">
        <v>3</v>
      </c>
      <c r="E131" s="15">
        <v>4.5</v>
      </c>
      <c r="F131" s="150">
        <f t="shared" si="18"/>
        <v>90.67285955681187</v>
      </c>
      <c r="G131" s="150">
        <f t="shared" si="19"/>
        <v>90.67285955681187</v>
      </c>
      <c r="H131" s="150">
        <f t="shared" si="20"/>
        <v>2.5188783530025893</v>
      </c>
      <c r="I131" s="150">
        <f t="shared" si="21"/>
        <v>25.330130070882515</v>
      </c>
      <c r="J131" s="14">
        <f t="shared" si="22"/>
        <v>10.492083412034106</v>
      </c>
      <c r="K131" s="137"/>
      <c r="L131" s="151">
        <f t="shared" si="14"/>
        <v>0.7071067811865475</v>
      </c>
      <c r="M131" s="151">
        <f t="shared" si="15"/>
        <v>0.7071067811865476</v>
      </c>
      <c r="N131" s="151">
        <f t="shared" si="16"/>
        <v>0.9238795325112867</v>
      </c>
      <c r="O131" s="151">
        <f t="shared" si="17"/>
        <v>0.38268343236508984</v>
      </c>
    </row>
    <row r="132" spans="2:15" ht="12.75">
      <c r="B132" s="53"/>
      <c r="C132" s="179"/>
      <c r="D132" s="10">
        <v>4.5</v>
      </c>
      <c r="E132" s="15">
        <v>4.5</v>
      </c>
      <c r="F132" s="150">
        <f t="shared" si="18"/>
        <v>118.46980021636743</v>
      </c>
      <c r="G132" s="150">
        <f t="shared" si="19"/>
        <v>118.46980021636743</v>
      </c>
      <c r="H132" s="150">
        <f t="shared" si="20"/>
        <v>1.3632071413876772</v>
      </c>
      <c r="I132" s="150">
        <f t="shared" si="21"/>
        <v>13.708567610557532</v>
      </c>
      <c r="J132" s="14">
        <f t="shared" si="22"/>
        <v>13.70856761055753</v>
      </c>
      <c r="K132" s="137"/>
      <c r="L132" s="151">
        <f t="shared" si="14"/>
        <v>0.9238795325112867</v>
      </c>
      <c r="M132" s="151">
        <f t="shared" si="15"/>
        <v>0.38268343236508984</v>
      </c>
      <c r="N132" s="151">
        <f t="shared" si="16"/>
        <v>0.9238795325112867</v>
      </c>
      <c r="O132" s="151">
        <f t="shared" si="17"/>
        <v>0.38268343236508984</v>
      </c>
    </row>
    <row r="133" spans="2:15" ht="12.75">
      <c r="B133" s="53"/>
      <c r="C133" s="179"/>
      <c r="D133" s="10">
        <v>6</v>
      </c>
      <c r="E133" s="15">
        <v>4.5</v>
      </c>
      <c r="F133" s="150">
        <f t="shared" si="18"/>
        <v>128.23078772439428</v>
      </c>
      <c r="G133" s="150">
        <f t="shared" si="19"/>
        <v>128.23078772439428</v>
      </c>
      <c r="H133" s="150">
        <f t="shared" si="20"/>
        <v>2.1821314717880983E-16</v>
      </c>
      <c r="I133" s="150">
        <f t="shared" si="21"/>
        <v>2.1943764750001016E-15</v>
      </c>
      <c r="J133" s="14">
        <f t="shared" si="22"/>
        <v>14.838046658848413</v>
      </c>
      <c r="K133" s="137"/>
      <c r="L133" s="151">
        <f t="shared" si="14"/>
        <v>1</v>
      </c>
      <c r="M133" s="151">
        <f t="shared" si="15"/>
        <v>6.1257422745431E-17</v>
      </c>
      <c r="N133" s="151">
        <f t="shared" si="16"/>
        <v>0.9238795325112867</v>
      </c>
      <c r="O133" s="151">
        <f t="shared" si="17"/>
        <v>0.38268343236508984</v>
      </c>
    </row>
    <row r="134" spans="2:15" ht="12.75">
      <c r="B134" s="53"/>
      <c r="C134" s="179"/>
      <c r="D134" s="10">
        <v>7.5</v>
      </c>
      <c r="E134" s="15">
        <v>4.5</v>
      </c>
      <c r="F134" s="150">
        <f t="shared" si="18"/>
        <v>118.46980021636743</v>
      </c>
      <c r="G134" s="150">
        <f t="shared" si="19"/>
        <v>118.46980021636743</v>
      </c>
      <c r="H134" s="150">
        <f t="shared" si="20"/>
        <v>-1.363207141387677</v>
      </c>
      <c r="I134" s="150">
        <f t="shared" si="21"/>
        <v>-13.708567610557527</v>
      </c>
      <c r="J134" s="14">
        <f t="shared" si="22"/>
        <v>13.70856761055753</v>
      </c>
      <c r="K134" s="137"/>
      <c r="L134" s="151">
        <f t="shared" si="14"/>
        <v>0.9238795325112867</v>
      </c>
      <c r="M134" s="151">
        <f t="shared" si="15"/>
        <v>-0.3826834323650897</v>
      </c>
      <c r="N134" s="151">
        <f t="shared" si="16"/>
        <v>0.9238795325112867</v>
      </c>
      <c r="O134" s="151">
        <f t="shared" si="17"/>
        <v>0.38268343236508984</v>
      </c>
    </row>
    <row r="135" spans="2:15" ht="12.75">
      <c r="B135" s="53"/>
      <c r="C135" s="179"/>
      <c r="D135" s="10">
        <v>9</v>
      </c>
      <c r="E135" s="15">
        <v>4.5</v>
      </c>
      <c r="F135" s="150">
        <f t="shared" si="18"/>
        <v>90.67285955681189</v>
      </c>
      <c r="G135" s="150">
        <f t="shared" si="19"/>
        <v>90.67285955681189</v>
      </c>
      <c r="H135" s="150">
        <f t="shared" si="20"/>
        <v>-2.518878353002589</v>
      </c>
      <c r="I135" s="150">
        <f t="shared" si="21"/>
        <v>-25.330130070882515</v>
      </c>
      <c r="J135" s="14">
        <f t="shared" si="22"/>
        <v>10.492083412034107</v>
      </c>
      <c r="K135" s="137"/>
      <c r="L135" s="151">
        <f t="shared" si="14"/>
        <v>0.7071067811865476</v>
      </c>
      <c r="M135" s="151">
        <f t="shared" si="15"/>
        <v>-0.7071067811865475</v>
      </c>
      <c r="N135" s="151">
        <f t="shared" si="16"/>
        <v>0.9238795325112867</v>
      </c>
      <c r="O135" s="151">
        <f t="shared" si="17"/>
        <v>0.38268343236508984</v>
      </c>
    </row>
    <row r="136" spans="2:15" ht="12.75">
      <c r="B136" s="53"/>
      <c r="C136" s="179"/>
      <c r="D136" s="10">
        <v>10.5</v>
      </c>
      <c r="E136" s="15">
        <v>4.5</v>
      </c>
      <c r="F136" s="150">
        <f t="shared" si="18"/>
        <v>49.071797981250434</v>
      </c>
      <c r="G136" s="150">
        <f t="shared" si="19"/>
        <v>49.071797981250434</v>
      </c>
      <c r="H136" s="150">
        <f t="shared" si="20"/>
        <v>-3.2910731690619865</v>
      </c>
      <c r="I136" s="150">
        <f t="shared" si="21"/>
        <v>-33.09540984611652</v>
      </c>
      <c r="J136" s="14">
        <f t="shared" si="22"/>
        <v>5.678274625001465</v>
      </c>
      <c r="K136" s="137"/>
      <c r="L136" s="151">
        <f t="shared" si="14"/>
        <v>0.3826834323650899</v>
      </c>
      <c r="M136" s="151">
        <f t="shared" si="15"/>
        <v>-0.9238795325112867</v>
      </c>
      <c r="N136" s="151">
        <f t="shared" si="16"/>
        <v>0.9238795325112867</v>
      </c>
      <c r="O136" s="151">
        <f t="shared" si="17"/>
        <v>0.38268343236508984</v>
      </c>
    </row>
    <row r="137" spans="2:15" ht="12.75">
      <c r="B137" s="53"/>
      <c r="C137" s="182"/>
      <c r="D137" s="8">
        <v>12</v>
      </c>
      <c r="E137" s="52">
        <v>4.5</v>
      </c>
      <c r="F137" s="152">
        <f t="shared" si="18"/>
        <v>1.5710175145225686E-14</v>
      </c>
      <c r="G137" s="152">
        <f t="shared" si="19"/>
        <v>1.5710175145225686E-14</v>
      </c>
      <c r="H137" s="152">
        <f t="shared" si="20"/>
        <v>-3.562231928784266</v>
      </c>
      <c r="I137" s="152">
        <f t="shared" si="21"/>
        <v>-35.82221348291662</v>
      </c>
      <c r="J137" s="13">
        <f t="shared" si="22"/>
        <v>1.8178809937950143E-15</v>
      </c>
      <c r="K137" s="137"/>
      <c r="L137" s="151">
        <f t="shared" si="14"/>
        <v>1.22514845490862E-16</v>
      </c>
      <c r="M137" s="151">
        <f t="shared" si="15"/>
        <v>-1</v>
      </c>
      <c r="N137" s="151">
        <f t="shared" si="16"/>
        <v>0.9238795325112867</v>
      </c>
      <c r="O137" s="151">
        <f t="shared" si="17"/>
        <v>0.38268343236508984</v>
      </c>
    </row>
    <row r="138" spans="2:15" s="4" customFormat="1" ht="12.75">
      <c r="B138" s="10"/>
      <c r="C138" s="178"/>
      <c r="D138" s="6">
        <v>0</v>
      </c>
      <c r="E138" s="51">
        <v>6</v>
      </c>
      <c r="F138" s="150">
        <f t="shared" si="18"/>
        <v>0</v>
      </c>
      <c r="G138" s="150">
        <f t="shared" si="19"/>
        <v>0</v>
      </c>
      <c r="H138" s="150">
        <f t="shared" si="20"/>
        <v>5.702184331059017E-16</v>
      </c>
      <c r="I138" s="150">
        <f t="shared" si="21"/>
        <v>38.77368447111798</v>
      </c>
      <c r="J138" s="14">
        <f t="shared" si="22"/>
        <v>0</v>
      </c>
      <c r="K138" s="15"/>
      <c r="L138" s="151">
        <f t="shared" si="14"/>
        <v>0</v>
      </c>
      <c r="M138" s="151">
        <f t="shared" si="15"/>
        <v>1</v>
      </c>
      <c r="N138" s="151">
        <f t="shared" si="16"/>
        <v>1</v>
      </c>
      <c r="O138" s="151">
        <f t="shared" si="17"/>
        <v>6.1257422745431E-17</v>
      </c>
    </row>
    <row r="139" spans="2:15" ht="12.75">
      <c r="B139" s="53"/>
      <c r="C139" s="179"/>
      <c r="D139" s="10">
        <v>1.5</v>
      </c>
      <c r="E139" s="15">
        <v>6</v>
      </c>
      <c r="F139" s="150">
        <f t="shared" si="18"/>
        <v>53.1149313892295</v>
      </c>
      <c r="G139" s="150">
        <f t="shared" si="19"/>
        <v>53.1149313892295</v>
      </c>
      <c r="H139" s="150">
        <f t="shared" si="20"/>
        <v>5.268131394071988E-16</v>
      </c>
      <c r="I139" s="150">
        <f t="shared" si="21"/>
        <v>35.82221348291662</v>
      </c>
      <c r="J139" s="14">
        <f t="shared" si="22"/>
        <v>9.089404968975071E-16</v>
      </c>
      <c r="K139" s="137"/>
      <c r="L139" s="151">
        <f t="shared" si="14"/>
        <v>0.3826834323650898</v>
      </c>
      <c r="M139" s="151">
        <f t="shared" si="15"/>
        <v>0.9238795325112867</v>
      </c>
      <c r="N139" s="151">
        <f t="shared" si="16"/>
        <v>1</v>
      </c>
      <c r="O139" s="151">
        <f t="shared" si="17"/>
        <v>6.1257422745431E-17</v>
      </c>
    </row>
    <row r="140" spans="2:15" ht="12.75">
      <c r="B140" s="53"/>
      <c r="C140" s="179"/>
      <c r="D140" s="10">
        <v>3</v>
      </c>
      <c r="E140" s="15">
        <v>6</v>
      </c>
      <c r="F140" s="150">
        <f t="shared" si="18"/>
        <v>98.14359596250083</v>
      </c>
      <c r="G140" s="150">
        <f t="shared" si="19"/>
        <v>98.14359596250083</v>
      </c>
      <c r="H140" s="150">
        <f t="shared" si="20"/>
        <v>4.0320532080675084E-16</v>
      </c>
      <c r="I140" s="150">
        <f t="shared" si="21"/>
        <v>27.41713522111506</v>
      </c>
      <c r="J140" s="14">
        <f t="shared" si="22"/>
        <v>1.6795030427084908E-15</v>
      </c>
      <c r="K140" s="137"/>
      <c r="L140" s="151">
        <f t="shared" si="14"/>
        <v>0.7071067811865475</v>
      </c>
      <c r="M140" s="151">
        <f t="shared" si="15"/>
        <v>0.7071067811865476</v>
      </c>
      <c r="N140" s="151">
        <f t="shared" si="16"/>
        <v>1</v>
      </c>
      <c r="O140" s="151">
        <f t="shared" si="17"/>
        <v>6.1257422745431E-17</v>
      </c>
    </row>
    <row r="141" spans="2:15" ht="12.75">
      <c r="B141" s="53"/>
      <c r="C141" s="179"/>
      <c r="D141" s="10">
        <v>4.5</v>
      </c>
      <c r="E141" s="15">
        <v>6</v>
      </c>
      <c r="F141" s="150">
        <f t="shared" si="18"/>
        <v>128.23078772439428</v>
      </c>
      <c r="G141" s="150">
        <f t="shared" si="19"/>
        <v>128.23078772439428</v>
      </c>
      <c r="H141" s="150">
        <f t="shared" si="20"/>
        <v>2.1821314717880983E-16</v>
      </c>
      <c r="I141" s="150">
        <f t="shared" si="21"/>
        <v>14.838046658848413</v>
      </c>
      <c r="J141" s="14">
        <f t="shared" si="22"/>
        <v>2.1943764750001016E-15</v>
      </c>
      <c r="K141" s="137"/>
      <c r="L141" s="151">
        <f t="shared" si="14"/>
        <v>0.9238795325112867</v>
      </c>
      <c r="M141" s="151">
        <f t="shared" si="15"/>
        <v>0.38268343236508984</v>
      </c>
      <c r="N141" s="151">
        <f t="shared" si="16"/>
        <v>1</v>
      </c>
      <c r="O141" s="151">
        <f t="shared" si="17"/>
        <v>6.1257422745431E-17</v>
      </c>
    </row>
    <row r="142" spans="2:15" ht="12.75">
      <c r="B142" s="53"/>
      <c r="C142" s="179"/>
      <c r="D142" s="10">
        <v>6</v>
      </c>
      <c r="E142" s="15">
        <v>6</v>
      </c>
      <c r="F142" s="150">
        <f t="shared" si="18"/>
        <v>138.796004470234</v>
      </c>
      <c r="G142" s="150">
        <f t="shared" si="19"/>
        <v>138.796004470234</v>
      </c>
      <c r="H142" s="150">
        <f t="shared" si="20"/>
        <v>3.493011161400549E-32</v>
      </c>
      <c r="I142" s="150">
        <f t="shared" si="21"/>
        <v>2.3751759810452273E-15</v>
      </c>
      <c r="J142" s="14">
        <f t="shared" si="22"/>
        <v>2.3751759810452273E-15</v>
      </c>
      <c r="K142" s="137"/>
      <c r="L142" s="151">
        <f t="shared" si="14"/>
        <v>1</v>
      </c>
      <c r="M142" s="151">
        <f t="shared" si="15"/>
        <v>6.1257422745431E-17</v>
      </c>
      <c r="N142" s="151">
        <f t="shared" si="16"/>
        <v>1</v>
      </c>
      <c r="O142" s="151">
        <f t="shared" si="17"/>
        <v>6.1257422745431E-17</v>
      </c>
    </row>
    <row r="143" spans="2:15" ht="12.75">
      <c r="B143" s="53"/>
      <c r="C143" s="179"/>
      <c r="D143" s="10">
        <v>7.5</v>
      </c>
      <c r="E143" s="15">
        <v>6</v>
      </c>
      <c r="F143" s="150">
        <f t="shared" si="18"/>
        <v>128.23078772439428</v>
      </c>
      <c r="G143" s="150">
        <f t="shared" si="19"/>
        <v>128.23078772439428</v>
      </c>
      <c r="H143" s="150">
        <f t="shared" si="20"/>
        <v>-2.1821314717880979E-16</v>
      </c>
      <c r="I143" s="150">
        <f t="shared" si="21"/>
        <v>-14.838046658848407</v>
      </c>
      <c r="J143" s="14">
        <f t="shared" si="22"/>
        <v>2.1943764750001016E-15</v>
      </c>
      <c r="K143" s="137"/>
      <c r="L143" s="151">
        <f t="shared" si="14"/>
        <v>0.9238795325112867</v>
      </c>
      <c r="M143" s="151">
        <f t="shared" si="15"/>
        <v>-0.3826834323650897</v>
      </c>
      <c r="N143" s="151">
        <f t="shared" si="16"/>
        <v>1</v>
      </c>
      <c r="O143" s="151">
        <f t="shared" si="17"/>
        <v>6.1257422745431E-17</v>
      </c>
    </row>
    <row r="144" spans="2:15" ht="12.75">
      <c r="B144" s="53"/>
      <c r="C144" s="179"/>
      <c r="D144" s="10">
        <v>9</v>
      </c>
      <c r="E144" s="15">
        <v>6</v>
      </c>
      <c r="F144" s="150">
        <f t="shared" si="18"/>
        <v>98.14359596250084</v>
      </c>
      <c r="G144" s="150">
        <f t="shared" si="19"/>
        <v>98.14359596250084</v>
      </c>
      <c r="H144" s="150">
        <f t="shared" si="20"/>
        <v>-4.032053208067508E-16</v>
      </c>
      <c r="I144" s="150">
        <f t="shared" si="21"/>
        <v>-27.417135221115057</v>
      </c>
      <c r="J144" s="14">
        <f t="shared" si="22"/>
        <v>1.679503042708491E-15</v>
      </c>
      <c r="K144" s="137"/>
      <c r="L144" s="151">
        <f t="shared" si="14"/>
        <v>0.7071067811865476</v>
      </c>
      <c r="M144" s="151">
        <f t="shared" si="15"/>
        <v>-0.7071067811865475</v>
      </c>
      <c r="N144" s="151">
        <f t="shared" si="16"/>
        <v>1</v>
      </c>
      <c r="O144" s="151">
        <f t="shared" si="17"/>
        <v>6.1257422745431E-17</v>
      </c>
    </row>
    <row r="145" spans="2:15" ht="12.75">
      <c r="B145" s="53"/>
      <c r="C145" s="179"/>
      <c r="D145" s="10">
        <v>10.5</v>
      </c>
      <c r="E145" s="15">
        <v>6</v>
      </c>
      <c r="F145" s="150">
        <f t="shared" si="18"/>
        <v>53.11493138922951</v>
      </c>
      <c r="G145" s="150">
        <f t="shared" si="19"/>
        <v>53.11493138922951</v>
      </c>
      <c r="H145" s="150">
        <f t="shared" si="20"/>
        <v>-5.268131394071988E-16</v>
      </c>
      <c r="I145" s="150">
        <f t="shared" si="21"/>
        <v>-35.82221348291662</v>
      </c>
      <c r="J145" s="14">
        <f t="shared" si="22"/>
        <v>9.089404968975073E-16</v>
      </c>
      <c r="K145" s="137"/>
      <c r="L145" s="151">
        <f t="shared" si="14"/>
        <v>0.3826834323650899</v>
      </c>
      <c r="M145" s="151">
        <f t="shared" si="15"/>
        <v>-0.9238795325112867</v>
      </c>
      <c r="N145" s="151">
        <f t="shared" si="16"/>
        <v>1</v>
      </c>
      <c r="O145" s="151">
        <f t="shared" si="17"/>
        <v>6.1257422745431E-17</v>
      </c>
    </row>
    <row r="146" spans="2:15" ht="12.75">
      <c r="B146" s="53"/>
      <c r="C146" s="182"/>
      <c r="D146" s="8">
        <v>12</v>
      </c>
      <c r="E146" s="52">
        <v>6</v>
      </c>
      <c r="F146" s="152">
        <f t="shared" si="18"/>
        <v>1.7004571042419712E-14</v>
      </c>
      <c r="G146" s="152">
        <f t="shared" si="19"/>
        <v>1.7004571042419712E-14</v>
      </c>
      <c r="H146" s="152">
        <f t="shared" si="20"/>
        <v>-5.702184331059017E-16</v>
      </c>
      <c r="I146" s="152">
        <f t="shared" si="21"/>
        <v>-38.77368447111798</v>
      </c>
      <c r="J146" s="13">
        <f t="shared" si="22"/>
        <v>2.909943183313626E-31</v>
      </c>
      <c r="K146" s="137"/>
      <c r="L146" s="151">
        <f t="shared" si="14"/>
        <v>1.22514845490862E-16</v>
      </c>
      <c r="M146" s="151">
        <f t="shared" si="15"/>
        <v>-1</v>
      </c>
      <c r="N146" s="151">
        <f t="shared" si="16"/>
        <v>1</v>
      </c>
      <c r="O146" s="151">
        <f t="shared" si="17"/>
        <v>6.1257422745431E-17</v>
      </c>
    </row>
    <row r="147" spans="2:15" s="4" customFormat="1" ht="12.75">
      <c r="B147" s="10"/>
      <c r="C147" s="178"/>
      <c r="D147" s="6">
        <v>0</v>
      </c>
      <c r="E147" s="51">
        <v>7.5</v>
      </c>
      <c r="F147" s="150">
        <f t="shared" si="18"/>
        <v>0</v>
      </c>
      <c r="G147" s="150">
        <f t="shared" si="19"/>
        <v>0</v>
      </c>
      <c r="H147" s="150">
        <f t="shared" si="20"/>
        <v>-3.562231928784265</v>
      </c>
      <c r="I147" s="150">
        <f t="shared" si="21"/>
        <v>35.82221348291662</v>
      </c>
      <c r="J147" s="14">
        <f t="shared" si="22"/>
        <v>0</v>
      </c>
      <c r="K147" s="15"/>
      <c r="L147" s="151">
        <f t="shared" si="14"/>
        <v>0</v>
      </c>
      <c r="M147" s="151">
        <f t="shared" si="15"/>
        <v>1</v>
      </c>
      <c r="N147" s="151">
        <f t="shared" si="16"/>
        <v>0.9238795325112867</v>
      </c>
      <c r="O147" s="151">
        <f t="shared" si="17"/>
        <v>-0.3826834323650897</v>
      </c>
    </row>
    <row r="148" spans="2:15" ht="12.75">
      <c r="B148" s="53"/>
      <c r="C148" s="179"/>
      <c r="D148" s="10">
        <v>1.5</v>
      </c>
      <c r="E148" s="15">
        <v>7.5</v>
      </c>
      <c r="F148" s="150">
        <f t="shared" si="18"/>
        <v>49.07179798125042</v>
      </c>
      <c r="G148" s="150">
        <f t="shared" si="19"/>
        <v>49.07179798125042</v>
      </c>
      <c r="H148" s="150">
        <f t="shared" si="20"/>
        <v>-3.2910731690619857</v>
      </c>
      <c r="I148" s="150">
        <f t="shared" si="21"/>
        <v>33.09540984611652</v>
      </c>
      <c r="J148" s="14">
        <f t="shared" si="22"/>
        <v>-5.678274625001461</v>
      </c>
      <c r="K148" s="137"/>
      <c r="L148" s="151">
        <f t="shared" si="14"/>
        <v>0.3826834323650898</v>
      </c>
      <c r="M148" s="151">
        <f t="shared" si="15"/>
        <v>0.9238795325112867</v>
      </c>
      <c r="N148" s="151">
        <f t="shared" si="16"/>
        <v>0.9238795325112867</v>
      </c>
      <c r="O148" s="151">
        <f t="shared" si="17"/>
        <v>-0.3826834323650897</v>
      </c>
    </row>
    <row r="149" spans="2:15" ht="12.75">
      <c r="B149" s="53"/>
      <c r="C149" s="179"/>
      <c r="D149" s="10">
        <v>3</v>
      </c>
      <c r="E149" s="15">
        <v>7.5</v>
      </c>
      <c r="F149" s="150">
        <f t="shared" si="18"/>
        <v>90.67285955681187</v>
      </c>
      <c r="G149" s="150">
        <f t="shared" si="19"/>
        <v>90.67285955681187</v>
      </c>
      <c r="H149" s="150">
        <f t="shared" si="20"/>
        <v>-2.5188783530025884</v>
      </c>
      <c r="I149" s="150">
        <f t="shared" si="21"/>
        <v>25.330130070882515</v>
      </c>
      <c r="J149" s="14">
        <f t="shared" si="22"/>
        <v>-10.492083412034104</v>
      </c>
      <c r="K149" s="137"/>
      <c r="L149" s="151">
        <f t="shared" si="14"/>
        <v>0.7071067811865475</v>
      </c>
      <c r="M149" s="151">
        <f t="shared" si="15"/>
        <v>0.7071067811865476</v>
      </c>
      <c r="N149" s="151">
        <f t="shared" si="16"/>
        <v>0.9238795325112867</v>
      </c>
      <c r="O149" s="151">
        <f t="shared" si="17"/>
        <v>-0.3826834323650897</v>
      </c>
    </row>
    <row r="150" spans="2:15" ht="12.75">
      <c r="B150" s="53"/>
      <c r="C150" s="179"/>
      <c r="D150" s="10">
        <v>4.5</v>
      </c>
      <c r="E150" s="15">
        <v>7.5</v>
      </c>
      <c r="F150" s="150">
        <f t="shared" si="18"/>
        <v>118.46980021636743</v>
      </c>
      <c r="G150" s="150">
        <f t="shared" si="19"/>
        <v>118.46980021636743</v>
      </c>
      <c r="H150" s="150">
        <f t="shared" si="20"/>
        <v>-1.3632071413876767</v>
      </c>
      <c r="I150" s="150">
        <f t="shared" si="21"/>
        <v>13.708567610557532</v>
      </c>
      <c r="J150" s="14">
        <f t="shared" si="22"/>
        <v>-13.708567610557527</v>
      </c>
      <c r="K150" s="137"/>
      <c r="L150" s="151">
        <f t="shared" si="14"/>
        <v>0.9238795325112867</v>
      </c>
      <c r="M150" s="151">
        <f t="shared" si="15"/>
        <v>0.38268343236508984</v>
      </c>
      <c r="N150" s="151">
        <f t="shared" si="16"/>
        <v>0.9238795325112867</v>
      </c>
      <c r="O150" s="151">
        <f t="shared" si="17"/>
        <v>-0.3826834323650897</v>
      </c>
    </row>
    <row r="151" spans="2:15" ht="12.75">
      <c r="B151" s="53"/>
      <c r="C151" s="179"/>
      <c r="D151" s="10">
        <v>6</v>
      </c>
      <c r="E151" s="15">
        <v>7.5</v>
      </c>
      <c r="F151" s="150">
        <f t="shared" si="18"/>
        <v>128.23078772439428</v>
      </c>
      <c r="G151" s="150">
        <f t="shared" si="19"/>
        <v>128.23078772439428</v>
      </c>
      <c r="H151" s="150">
        <f t="shared" si="20"/>
        <v>-2.1821314717880976E-16</v>
      </c>
      <c r="I151" s="150">
        <f t="shared" si="21"/>
        <v>2.1943764750001016E-15</v>
      </c>
      <c r="J151" s="14">
        <f t="shared" si="22"/>
        <v>-14.838046658848407</v>
      </c>
      <c r="K151" s="137"/>
      <c r="L151" s="151">
        <f t="shared" si="14"/>
        <v>1</v>
      </c>
      <c r="M151" s="151">
        <f t="shared" si="15"/>
        <v>6.1257422745431E-17</v>
      </c>
      <c r="N151" s="151">
        <f t="shared" si="16"/>
        <v>0.9238795325112867</v>
      </c>
      <c r="O151" s="151">
        <f t="shared" si="17"/>
        <v>-0.3826834323650897</v>
      </c>
    </row>
    <row r="152" spans="2:15" ht="12.75">
      <c r="B152" s="53"/>
      <c r="C152" s="179"/>
      <c r="D152" s="10">
        <v>7.5</v>
      </c>
      <c r="E152" s="15">
        <v>7.5</v>
      </c>
      <c r="F152" s="150">
        <f t="shared" si="18"/>
        <v>118.46980021636743</v>
      </c>
      <c r="G152" s="150">
        <f t="shared" si="19"/>
        <v>118.46980021636743</v>
      </c>
      <c r="H152" s="150">
        <f t="shared" si="20"/>
        <v>1.3632071413876765</v>
      </c>
      <c r="I152" s="150">
        <f t="shared" si="21"/>
        <v>-13.708567610557527</v>
      </c>
      <c r="J152" s="14">
        <f t="shared" si="22"/>
        <v>-13.708567610557527</v>
      </c>
      <c r="K152" s="137"/>
      <c r="L152" s="151">
        <f t="shared" si="14"/>
        <v>0.9238795325112867</v>
      </c>
      <c r="M152" s="151">
        <f t="shared" si="15"/>
        <v>-0.3826834323650897</v>
      </c>
      <c r="N152" s="151">
        <f t="shared" si="16"/>
        <v>0.9238795325112867</v>
      </c>
      <c r="O152" s="151">
        <f t="shared" si="17"/>
        <v>-0.3826834323650897</v>
      </c>
    </row>
    <row r="153" spans="2:15" ht="12.75">
      <c r="B153" s="53"/>
      <c r="C153" s="179"/>
      <c r="D153" s="10">
        <v>9</v>
      </c>
      <c r="E153" s="15">
        <v>7.5</v>
      </c>
      <c r="F153" s="150">
        <f t="shared" si="18"/>
        <v>90.67285955681189</v>
      </c>
      <c r="G153" s="150">
        <f t="shared" si="19"/>
        <v>90.67285955681189</v>
      </c>
      <c r="H153" s="150">
        <f t="shared" si="20"/>
        <v>2.518878353002588</v>
      </c>
      <c r="I153" s="150">
        <f t="shared" si="21"/>
        <v>-25.330130070882515</v>
      </c>
      <c r="J153" s="14">
        <f t="shared" si="22"/>
        <v>-10.492083412034104</v>
      </c>
      <c r="K153" s="137"/>
      <c r="L153" s="151">
        <f t="shared" si="14"/>
        <v>0.7071067811865476</v>
      </c>
      <c r="M153" s="151">
        <f t="shared" si="15"/>
        <v>-0.7071067811865475</v>
      </c>
      <c r="N153" s="151">
        <f t="shared" si="16"/>
        <v>0.9238795325112867</v>
      </c>
      <c r="O153" s="151">
        <f t="shared" si="17"/>
        <v>-0.3826834323650897</v>
      </c>
    </row>
    <row r="154" spans="2:15" ht="12.75">
      <c r="B154" s="53"/>
      <c r="C154" s="179"/>
      <c r="D154" s="10">
        <v>10.5</v>
      </c>
      <c r="E154" s="15">
        <v>7.5</v>
      </c>
      <c r="F154" s="150">
        <f t="shared" si="18"/>
        <v>49.071797981250434</v>
      </c>
      <c r="G154" s="150">
        <f t="shared" si="19"/>
        <v>49.071797981250434</v>
      </c>
      <c r="H154" s="150">
        <f t="shared" si="20"/>
        <v>3.2910731690619857</v>
      </c>
      <c r="I154" s="150">
        <f t="shared" si="21"/>
        <v>-33.09540984611652</v>
      </c>
      <c r="J154" s="14">
        <f t="shared" si="22"/>
        <v>-5.678274625001463</v>
      </c>
      <c r="K154" s="137"/>
      <c r="L154" s="151">
        <f t="shared" si="14"/>
        <v>0.3826834323650899</v>
      </c>
      <c r="M154" s="151">
        <f t="shared" si="15"/>
        <v>-0.9238795325112867</v>
      </c>
      <c r="N154" s="151">
        <f t="shared" si="16"/>
        <v>0.9238795325112867</v>
      </c>
      <c r="O154" s="151">
        <f t="shared" si="17"/>
        <v>-0.3826834323650897</v>
      </c>
    </row>
    <row r="155" spans="2:15" ht="12.75">
      <c r="B155" s="53"/>
      <c r="C155" s="182"/>
      <c r="D155" s="8">
        <v>12</v>
      </c>
      <c r="E155" s="52">
        <v>7.5</v>
      </c>
      <c r="F155" s="152">
        <f t="shared" si="18"/>
        <v>1.5710175145225686E-14</v>
      </c>
      <c r="G155" s="152">
        <f t="shared" si="19"/>
        <v>1.5710175145225686E-14</v>
      </c>
      <c r="H155" s="152">
        <f t="shared" si="20"/>
        <v>3.562231928784265</v>
      </c>
      <c r="I155" s="152">
        <f t="shared" si="21"/>
        <v>-35.82221348291662</v>
      </c>
      <c r="J155" s="13">
        <f t="shared" si="22"/>
        <v>-1.817880993795014E-15</v>
      </c>
      <c r="K155" s="137"/>
      <c r="L155" s="151">
        <f t="shared" si="14"/>
        <v>1.22514845490862E-16</v>
      </c>
      <c r="M155" s="151">
        <f t="shared" si="15"/>
        <v>-1</v>
      </c>
      <c r="N155" s="151">
        <f t="shared" si="16"/>
        <v>0.9238795325112867</v>
      </c>
      <c r="O155" s="151">
        <f t="shared" si="17"/>
        <v>-0.3826834323650897</v>
      </c>
    </row>
    <row r="156" spans="2:15" s="4" customFormat="1" ht="12.75">
      <c r="B156" s="10"/>
      <c r="C156" s="178"/>
      <c r="D156" s="6">
        <v>0</v>
      </c>
      <c r="E156" s="51">
        <v>9</v>
      </c>
      <c r="F156" s="150">
        <f t="shared" si="18"/>
        <v>0</v>
      </c>
      <c r="G156" s="150">
        <f t="shared" si="19"/>
        <v>0</v>
      </c>
      <c r="H156" s="150">
        <f t="shared" si="20"/>
        <v>-6.582146338123972</v>
      </c>
      <c r="I156" s="150">
        <f t="shared" si="21"/>
        <v>27.41713522111506</v>
      </c>
      <c r="J156" s="14">
        <f t="shared" si="22"/>
        <v>0</v>
      </c>
      <c r="K156" s="15"/>
      <c r="L156" s="151">
        <f t="shared" si="14"/>
        <v>0</v>
      </c>
      <c r="M156" s="151">
        <f t="shared" si="15"/>
        <v>1</v>
      </c>
      <c r="N156" s="151">
        <f t="shared" si="16"/>
        <v>0.7071067811865476</v>
      </c>
      <c r="O156" s="151">
        <f t="shared" si="17"/>
        <v>-0.7071067811865475</v>
      </c>
    </row>
    <row r="157" spans="2:15" ht="12.75">
      <c r="B157" s="53"/>
      <c r="C157" s="179"/>
      <c r="D157" s="10">
        <v>1.5</v>
      </c>
      <c r="E157" s="15">
        <v>9</v>
      </c>
      <c r="F157" s="150">
        <f t="shared" si="18"/>
        <v>37.55792816758239</v>
      </c>
      <c r="G157" s="150">
        <f t="shared" si="19"/>
        <v>37.55792816758239</v>
      </c>
      <c r="H157" s="150">
        <f t="shared" si="20"/>
        <v>-6.081110281786853</v>
      </c>
      <c r="I157" s="150">
        <f t="shared" si="21"/>
        <v>25.330130070882515</v>
      </c>
      <c r="J157" s="14">
        <f t="shared" si="22"/>
        <v>-10.492083412034106</v>
      </c>
      <c r="K157" s="137"/>
      <c r="L157" s="151">
        <f t="shared" si="14"/>
        <v>0.3826834323650898</v>
      </c>
      <c r="M157" s="151">
        <f t="shared" si="15"/>
        <v>0.9238795325112867</v>
      </c>
      <c r="N157" s="151">
        <f t="shared" si="16"/>
        <v>0.7071067811865476</v>
      </c>
      <c r="O157" s="151">
        <f t="shared" si="17"/>
        <v>-0.7071067811865475</v>
      </c>
    </row>
    <row r="158" spans="2:15" ht="12.75">
      <c r="B158" s="53"/>
      <c r="C158" s="179"/>
      <c r="D158" s="10">
        <v>3</v>
      </c>
      <c r="E158" s="15">
        <v>9</v>
      </c>
      <c r="F158" s="150">
        <f t="shared" si="18"/>
        <v>69.398002235117</v>
      </c>
      <c r="G158" s="150">
        <f t="shared" si="19"/>
        <v>69.398002235117</v>
      </c>
      <c r="H158" s="150">
        <f t="shared" si="20"/>
        <v>-4.654280310449663</v>
      </c>
      <c r="I158" s="150">
        <f t="shared" si="21"/>
        <v>19.386842235558994</v>
      </c>
      <c r="J158" s="14">
        <f t="shared" si="22"/>
        <v>-19.386842235558987</v>
      </c>
      <c r="K158" s="137"/>
      <c r="L158" s="151">
        <f t="shared" si="14"/>
        <v>0.7071067811865475</v>
      </c>
      <c r="M158" s="151">
        <f t="shared" si="15"/>
        <v>0.7071067811865476</v>
      </c>
      <c r="N158" s="151">
        <f t="shared" si="16"/>
        <v>0.7071067811865476</v>
      </c>
      <c r="O158" s="151">
        <f t="shared" si="17"/>
        <v>-0.7071067811865475</v>
      </c>
    </row>
    <row r="159" spans="2:15" ht="12.75">
      <c r="B159" s="53"/>
      <c r="C159" s="179"/>
      <c r="D159" s="10">
        <v>4.5</v>
      </c>
      <c r="E159" s="15">
        <v>9</v>
      </c>
      <c r="F159" s="150">
        <f t="shared" si="18"/>
        <v>90.6728595568119</v>
      </c>
      <c r="G159" s="150">
        <f t="shared" si="19"/>
        <v>90.6728595568119</v>
      </c>
      <c r="H159" s="150">
        <f t="shared" si="20"/>
        <v>-2.518878353002589</v>
      </c>
      <c r="I159" s="150">
        <f t="shared" si="21"/>
        <v>10.492083412034107</v>
      </c>
      <c r="J159" s="14">
        <f t="shared" si="22"/>
        <v>-25.33013007088251</v>
      </c>
      <c r="K159" s="137"/>
      <c r="L159" s="151">
        <f t="shared" si="14"/>
        <v>0.9238795325112867</v>
      </c>
      <c r="M159" s="151">
        <f t="shared" si="15"/>
        <v>0.38268343236508984</v>
      </c>
      <c r="N159" s="151">
        <f t="shared" si="16"/>
        <v>0.7071067811865476</v>
      </c>
      <c r="O159" s="151">
        <f t="shared" si="17"/>
        <v>-0.7071067811865475</v>
      </c>
    </row>
    <row r="160" spans="2:15" ht="12.75">
      <c r="B160" s="53"/>
      <c r="C160" s="179"/>
      <c r="D160" s="10">
        <v>6</v>
      </c>
      <c r="E160" s="15">
        <v>9</v>
      </c>
      <c r="F160" s="150">
        <f t="shared" si="18"/>
        <v>98.14359596250084</v>
      </c>
      <c r="G160" s="150">
        <f t="shared" si="19"/>
        <v>98.14359596250084</v>
      </c>
      <c r="H160" s="150">
        <f t="shared" si="20"/>
        <v>-4.032053208067508E-16</v>
      </c>
      <c r="I160" s="150">
        <f t="shared" si="21"/>
        <v>1.679503042708491E-15</v>
      </c>
      <c r="J160" s="14">
        <f t="shared" si="22"/>
        <v>-27.417135221115057</v>
      </c>
      <c r="K160" s="137"/>
      <c r="L160" s="151">
        <f t="shared" si="14"/>
        <v>1</v>
      </c>
      <c r="M160" s="151">
        <f t="shared" si="15"/>
        <v>6.1257422745431E-17</v>
      </c>
      <c r="N160" s="151">
        <f t="shared" si="16"/>
        <v>0.7071067811865476</v>
      </c>
      <c r="O160" s="151">
        <f t="shared" si="17"/>
        <v>-0.7071067811865475</v>
      </c>
    </row>
    <row r="161" spans="2:15" ht="12.75">
      <c r="B161" s="53"/>
      <c r="C161" s="179"/>
      <c r="D161" s="10">
        <v>7.5</v>
      </c>
      <c r="E161" s="15">
        <v>9</v>
      </c>
      <c r="F161" s="150">
        <f t="shared" si="18"/>
        <v>90.6728595568119</v>
      </c>
      <c r="G161" s="150">
        <f t="shared" si="19"/>
        <v>90.6728595568119</v>
      </c>
      <c r="H161" s="150">
        <f t="shared" si="20"/>
        <v>2.5188783530025884</v>
      </c>
      <c r="I161" s="150">
        <f t="shared" si="21"/>
        <v>-10.492083412034104</v>
      </c>
      <c r="J161" s="14">
        <f t="shared" si="22"/>
        <v>-25.33013007088251</v>
      </c>
      <c r="K161" s="137"/>
      <c r="L161" s="151">
        <f t="shared" si="14"/>
        <v>0.9238795325112867</v>
      </c>
      <c r="M161" s="151">
        <f t="shared" si="15"/>
        <v>-0.3826834323650897</v>
      </c>
      <c r="N161" s="151">
        <f t="shared" si="16"/>
        <v>0.7071067811865476</v>
      </c>
      <c r="O161" s="151">
        <f t="shared" si="17"/>
        <v>-0.7071067811865475</v>
      </c>
    </row>
    <row r="162" spans="2:15" ht="12.75">
      <c r="B162" s="53"/>
      <c r="C162" s="179"/>
      <c r="D162" s="10">
        <v>9</v>
      </c>
      <c r="E162" s="15">
        <v>9</v>
      </c>
      <c r="F162" s="150">
        <f t="shared" si="18"/>
        <v>69.39800223511702</v>
      </c>
      <c r="G162" s="150">
        <f t="shared" si="19"/>
        <v>69.39800223511702</v>
      </c>
      <c r="H162" s="150">
        <f t="shared" si="20"/>
        <v>4.654280310449662</v>
      </c>
      <c r="I162" s="150">
        <f t="shared" si="21"/>
        <v>-19.38684223555899</v>
      </c>
      <c r="J162" s="14">
        <f t="shared" si="22"/>
        <v>-19.38684223555899</v>
      </c>
      <c r="K162" s="137"/>
      <c r="L162" s="151">
        <f t="shared" si="14"/>
        <v>0.7071067811865476</v>
      </c>
      <c r="M162" s="151">
        <f t="shared" si="15"/>
        <v>-0.7071067811865475</v>
      </c>
      <c r="N162" s="151">
        <f t="shared" si="16"/>
        <v>0.7071067811865476</v>
      </c>
      <c r="O162" s="151">
        <f t="shared" si="17"/>
        <v>-0.7071067811865475</v>
      </c>
    </row>
    <row r="163" spans="2:15" ht="12.75">
      <c r="B163" s="53"/>
      <c r="C163" s="179"/>
      <c r="D163" s="10">
        <v>10.5</v>
      </c>
      <c r="E163" s="15">
        <v>9</v>
      </c>
      <c r="F163" s="150">
        <f t="shared" si="18"/>
        <v>37.557928167582396</v>
      </c>
      <c r="G163" s="150">
        <f t="shared" si="19"/>
        <v>37.557928167582396</v>
      </c>
      <c r="H163" s="150">
        <f t="shared" si="20"/>
        <v>6.081110281786853</v>
      </c>
      <c r="I163" s="150">
        <f t="shared" si="21"/>
        <v>-25.330130070882515</v>
      </c>
      <c r="J163" s="14">
        <f t="shared" si="22"/>
        <v>-10.492083412034107</v>
      </c>
      <c r="K163" s="137"/>
      <c r="L163" s="151">
        <f t="shared" si="14"/>
        <v>0.3826834323650899</v>
      </c>
      <c r="M163" s="151">
        <f t="shared" si="15"/>
        <v>-0.9238795325112867</v>
      </c>
      <c r="N163" s="151">
        <f t="shared" si="16"/>
        <v>0.7071067811865476</v>
      </c>
      <c r="O163" s="151">
        <f t="shared" si="17"/>
        <v>-0.7071067811865475</v>
      </c>
    </row>
    <row r="164" spans="2:15" ht="12.75">
      <c r="B164" s="53"/>
      <c r="C164" s="182"/>
      <c r="D164" s="8">
        <v>12</v>
      </c>
      <c r="E164" s="52">
        <v>9</v>
      </c>
      <c r="F164" s="152">
        <f t="shared" si="18"/>
        <v>1.2024047495263378E-14</v>
      </c>
      <c r="G164" s="152">
        <f t="shared" si="19"/>
        <v>1.2024047495263378E-14</v>
      </c>
      <c r="H164" s="152">
        <f t="shared" si="20"/>
        <v>6.582146338123972</v>
      </c>
      <c r="I164" s="152">
        <f t="shared" si="21"/>
        <v>-27.41713522111506</v>
      </c>
      <c r="J164" s="13">
        <f t="shared" si="22"/>
        <v>-3.3590060854169817E-15</v>
      </c>
      <c r="K164" s="137"/>
      <c r="L164" s="151">
        <f t="shared" si="14"/>
        <v>1.22514845490862E-16</v>
      </c>
      <c r="M164" s="151">
        <f t="shared" si="15"/>
        <v>-1</v>
      </c>
      <c r="N164" s="151">
        <f t="shared" si="16"/>
        <v>0.7071067811865476</v>
      </c>
      <c r="O164" s="151">
        <f t="shared" si="17"/>
        <v>-0.7071067811865475</v>
      </c>
    </row>
    <row r="165" spans="2:15" s="4" customFormat="1" ht="12.75">
      <c r="B165" s="10"/>
      <c r="C165" s="178"/>
      <c r="D165" s="6">
        <v>0</v>
      </c>
      <c r="E165" s="51">
        <v>10.5</v>
      </c>
      <c r="F165" s="150">
        <f t="shared" si="18"/>
        <v>0</v>
      </c>
      <c r="G165" s="150">
        <f t="shared" si="19"/>
        <v>0</v>
      </c>
      <c r="H165" s="150">
        <f t="shared" si="20"/>
        <v>-8.599988634789442</v>
      </c>
      <c r="I165" s="150">
        <f t="shared" si="21"/>
        <v>14.838046658848414</v>
      </c>
      <c r="J165" s="14">
        <f t="shared" si="22"/>
        <v>0</v>
      </c>
      <c r="K165" s="15"/>
      <c r="L165" s="151">
        <f t="shared" si="14"/>
        <v>0</v>
      </c>
      <c r="M165" s="151">
        <f t="shared" si="15"/>
        <v>1</v>
      </c>
      <c r="N165" s="151">
        <f t="shared" si="16"/>
        <v>0.3826834323650899</v>
      </c>
      <c r="O165" s="151">
        <f t="shared" si="17"/>
        <v>-0.9238795325112867</v>
      </c>
    </row>
    <row r="166" spans="2:15" ht="12.75">
      <c r="B166" s="53"/>
      <c r="C166" s="179"/>
      <c r="D166" s="10">
        <v>1.5</v>
      </c>
      <c r="E166" s="15">
        <v>10.5</v>
      </c>
      <c r="F166" s="150">
        <f t="shared" si="18"/>
        <v>20.326204253866596</v>
      </c>
      <c r="G166" s="150">
        <f t="shared" si="19"/>
        <v>20.326204253866596</v>
      </c>
      <c r="H166" s="150">
        <f t="shared" si="20"/>
        <v>-7.945353479511649</v>
      </c>
      <c r="I166" s="150">
        <f t="shared" si="21"/>
        <v>13.708567610557532</v>
      </c>
      <c r="J166" s="14">
        <f t="shared" si="22"/>
        <v>-13.70856761055753</v>
      </c>
      <c r="K166" s="137"/>
      <c r="L166" s="151">
        <f t="shared" si="14"/>
        <v>0.3826834323650898</v>
      </c>
      <c r="M166" s="151">
        <f t="shared" si="15"/>
        <v>0.9238795325112867</v>
      </c>
      <c r="N166" s="151">
        <f t="shared" si="16"/>
        <v>0.3826834323650899</v>
      </c>
      <c r="O166" s="151">
        <f t="shared" si="17"/>
        <v>-0.9238795325112867</v>
      </c>
    </row>
    <row r="167" spans="2:15" ht="12.75">
      <c r="B167" s="53"/>
      <c r="C167" s="179"/>
      <c r="D167" s="10">
        <v>3</v>
      </c>
      <c r="E167" s="15">
        <v>10.5</v>
      </c>
      <c r="F167" s="150">
        <f t="shared" si="18"/>
        <v>37.557928167582396</v>
      </c>
      <c r="G167" s="150">
        <f t="shared" si="19"/>
        <v>37.557928167582396</v>
      </c>
      <c r="H167" s="150">
        <f t="shared" si="20"/>
        <v>-6.081110281786854</v>
      </c>
      <c r="I167" s="150">
        <f t="shared" si="21"/>
        <v>10.492083412034109</v>
      </c>
      <c r="J167" s="14">
        <f t="shared" si="22"/>
        <v>-25.330130070882515</v>
      </c>
      <c r="K167" s="137"/>
      <c r="L167" s="151">
        <f t="shared" si="14"/>
        <v>0.7071067811865475</v>
      </c>
      <c r="M167" s="151">
        <f t="shared" si="15"/>
        <v>0.7071067811865476</v>
      </c>
      <c r="N167" s="151">
        <f t="shared" si="16"/>
        <v>0.3826834323650899</v>
      </c>
      <c r="O167" s="151">
        <f t="shared" si="17"/>
        <v>-0.9238795325112867</v>
      </c>
    </row>
    <row r="168" spans="2:15" ht="12.75">
      <c r="B168" s="53"/>
      <c r="C168" s="179"/>
      <c r="D168" s="10">
        <v>4.5</v>
      </c>
      <c r="E168" s="15">
        <v>10.5</v>
      </c>
      <c r="F168" s="150">
        <f t="shared" si="18"/>
        <v>49.071797981250434</v>
      </c>
      <c r="G168" s="150">
        <f t="shared" si="19"/>
        <v>49.071797981250434</v>
      </c>
      <c r="H168" s="150">
        <f t="shared" si="20"/>
        <v>-3.291073169061987</v>
      </c>
      <c r="I168" s="150">
        <f t="shared" si="21"/>
        <v>5.678274625001465</v>
      </c>
      <c r="J168" s="14">
        <f t="shared" si="22"/>
        <v>-33.09540984611652</v>
      </c>
      <c r="K168" s="137"/>
      <c r="L168" s="151">
        <f t="shared" si="14"/>
        <v>0.9238795325112867</v>
      </c>
      <c r="M168" s="151">
        <f t="shared" si="15"/>
        <v>0.38268343236508984</v>
      </c>
      <c r="N168" s="151">
        <f t="shared" si="16"/>
        <v>0.3826834323650899</v>
      </c>
      <c r="O168" s="151">
        <f t="shared" si="17"/>
        <v>-0.9238795325112867</v>
      </c>
    </row>
    <row r="169" spans="2:15" ht="12.75">
      <c r="B169" s="53"/>
      <c r="C169" s="179"/>
      <c r="D169" s="10">
        <v>6</v>
      </c>
      <c r="E169" s="15">
        <v>10.5</v>
      </c>
      <c r="F169" s="150">
        <f t="shared" si="18"/>
        <v>53.11493138922951</v>
      </c>
      <c r="G169" s="150">
        <f t="shared" si="19"/>
        <v>53.11493138922951</v>
      </c>
      <c r="H169" s="150">
        <f t="shared" si="20"/>
        <v>-5.268131394071988E-16</v>
      </c>
      <c r="I169" s="150">
        <f t="shared" si="21"/>
        <v>9.089404968975073E-16</v>
      </c>
      <c r="J169" s="14">
        <f t="shared" si="22"/>
        <v>-35.82221348291662</v>
      </c>
      <c r="K169" s="137"/>
      <c r="L169" s="151">
        <f t="shared" si="14"/>
        <v>1</v>
      </c>
      <c r="M169" s="151">
        <f t="shared" si="15"/>
        <v>6.1257422745431E-17</v>
      </c>
      <c r="N169" s="151">
        <f t="shared" si="16"/>
        <v>0.3826834323650899</v>
      </c>
      <c r="O169" s="151">
        <f t="shared" si="17"/>
        <v>-0.9238795325112867</v>
      </c>
    </row>
    <row r="170" spans="2:15" ht="12.75">
      <c r="B170" s="53"/>
      <c r="C170" s="179"/>
      <c r="D170" s="10">
        <v>7.5</v>
      </c>
      <c r="E170" s="15">
        <v>10.5</v>
      </c>
      <c r="F170" s="150">
        <f t="shared" si="18"/>
        <v>49.071797981250434</v>
      </c>
      <c r="G170" s="150">
        <f t="shared" si="19"/>
        <v>49.071797981250434</v>
      </c>
      <c r="H170" s="150">
        <f t="shared" si="20"/>
        <v>3.291073169061986</v>
      </c>
      <c r="I170" s="150">
        <f t="shared" si="21"/>
        <v>-5.678274625001462</v>
      </c>
      <c r="J170" s="14">
        <f t="shared" si="22"/>
        <v>-33.09540984611652</v>
      </c>
      <c r="K170" s="137"/>
      <c r="L170" s="151">
        <f t="shared" si="14"/>
        <v>0.9238795325112867</v>
      </c>
      <c r="M170" s="151">
        <f t="shared" si="15"/>
        <v>-0.3826834323650897</v>
      </c>
      <c r="N170" s="151">
        <f t="shared" si="16"/>
        <v>0.3826834323650899</v>
      </c>
      <c r="O170" s="151">
        <f t="shared" si="17"/>
        <v>-0.9238795325112867</v>
      </c>
    </row>
    <row r="171" spans="2:15" ht="12.75">
      <c r="B171" s="53"/>
      <c r="C171" s="179"/>
      <c r="D171" s="10">
        <v>9</v>
      </c>
      <c r="E171" s="15">
        <v>10.5</v>
      </c>
      <c r="F171" s="150">
        <f t="shared" si="18"/>
        <v>37.557928167582396</v>
      </c>
      <c r="G171" s="150">
        <f t="shared" si="19"/>
        <v>37.557928167582396</v>
      </c>
      <c r="H171" s="150">
        <f t="shared" si="20"/>
        <v>6.081110281786853</v>
      </c>
      <c r="I171" s="150">
        <f t="shared" si="21"/>
        <v>-10.492083412034107</v>
      </c>
      <c r="J171" s="14">
        <f t="shared" si="22"/>
        <v>-25.330130070882515</v>
      </c>
      <c r="K171" s="137"/>
      <c r="L171" s="151">
        <f t="shared" si="14"/>
        <v>0.7071067811865476</v>
      </c>
      <c r="M171" s="151">
        <f t="shared" si="15"/>
        <v>-0.7071067811865475</v>
      </c>
      <c r="N171" s="151">
        <f t="shared" si="16"/>
        <v>0.3826834323650899</v>
      </c>
      <c r="O171" s="151">
        <f t="shared" si="17"/>
        <v>-0.9238795325112867</v>
      </c>
    </row>
    <row r="172" spans="2:15" ht="12.75">
      <c r="B172" s="53"/>
      <c r="C172" s="179"/>
      <c r="D172" s="10">
        <v>10.5</v>
      </c>
      <c r="E172" s="15">
        <v>10.5</v>
      </c>
      <c r="F172" s="150">
        <f t="shared" si="18"/>
        <v>20.326204253866603</v>
      </c>
      <c r="G172" s="150">
        <f t="shared" si="19"/>
        <v>20.326204253866603</v>
      </c>
      <c r="H172" s="150">
        <f t="shared" si="20"/>
        <v>7.945353479511649</v>
      </c>
      <c r="I172" s="150">
        <f t="shared" si="21"/>
        <v>-13.708567610557532</v>
      </c>
      <c r="J172" s="14">
        <f t="shared" si="22"/>
        <v>-13.708567610557534</v>
      </c>
      <c r="K172" s="137"/>
      <c r="L172" s="151">
        <f t="shared" si="14"/>
        <v>0.3826834323650899</v>
      </c>
      <c r="M172" s="151">
        <f t="shared" si="15"/>
        <v>-0.9238795325112867</v>
      </c>
      <c r="N172" s="151">
        <f t="shared" si="16"/>
        <v>0.3826834323650899</v>
      </c>
      <c r="O172" s="151">
        <f t="shared" si="17"/>
        <v>-0.9238795325112867</v>
      </c>
    </row>
    <row r="173" spans="2:15" ht="12.75">
      <c r="B173" s="53"/>
      <c r="C173" s="182"/>
      <c r="D173" s="8">
        <v>12</v>
      </c>
      <c r="E173" s="52">
        <v>10.5</v>
      </c>
      <c r="F173" s="152">
        <f t="shared" si="18"/>
        <v>6.50736761240919E-15</v>
      </c>
      <c r="G173" s="152">
        <f t="shared" si="19"/>
        <v>6.50736761240919E-15</v>
      </c>
      <c r="H173" s="152">
        <f t="shared" si="20"/>
        <v>8.599988634789442</v>
      </c>
      <c r="I173" s="152">
        <f t="shared" si="21"/>
        <v>-14.838046658848414</v>
      </c>
      <c r="J173" s="13">
        <f t="shared" si="22"/>
        <v>-4.388752950000203E-15</v>
      </c>
      <c r="K173" s="137"/>
      <c r="L173" s="151">
        <f t="shared" si="14"/>
        <v>1.22514845490862E-16</v>
      </c>
      <c r="M173" s="151">
        <f t="shared" si="15"/>
        <v>-1</v>
      </c>
      <c r="N173" s="151">
        <f t="shared" si="16"/>
        <v>0.3826834323650899</v>
      </c>
      <c r="O173" s="151">
        <f t="shared" si="17"/>
        <v>-0.9238795325112867</v>
      </c>
    </row>
    <row r="174" spans="2:15" s="4" customFormat="1" ht="12.75">
      <c r="B174" s="10"/>
      <c r="C174" s="178"/>
      <c r="D174" s="6">
        <v>0</v>
      </c>
      <c r="E174" s="51">
        <v>12</v>
      </c>
      <c r="F174" s="150">
        <f t="shared" si="18"/>
        <v>0</v>
      </c>
      <c r="G174" s="150">
        <f t="shared" si="19"/>
        <v>0</v>
      </c>
      <c r="H174" s="150">
        <f t="shared" si="20"/>
        <v>-9.308560620899327</v>
      </c>
      <c r="I174" s="150">
        <f t="shared" si="21"/>
        <v>4.7503519620904546E-15</v>
      </c>
      <c r="J174" s="14">
        <f t="shared" si="22"/>
        <v>0</v>
      </c>
      <c r="K174" s="15"/>
      <c r="L174" s="151">
        <f t="shared" si="14"/>
        <v>0</v>
      </c>
      <c r="M174" s="151">
        <f t="shared" si="15"/>
        <v>1</v>
      </c>
      <c r="N174" s="151">
        <f t="shared" si="16"/>
        <v>1.22514845490862E-16</v>
      </c>
      <c r="O174" s="151">
        <f t="shared" si="17"/>
        <v>-1</v>
      </c>
    </row>
    <row r="175" spans="2:15" ht="12.75">
      <c r="B175" s="53"/>
      <c r="C175" s="179"/>
      <c r="D175" s="10">
        <v>1.5</v>
      </c>
      <c r="E175" s="15">
        <v>12</v>
      </c>
      <c r="F175" s="150">
        <f t="shared" si="18"/>
        <v>6.507367612409188E-15</v>
      </c>
      <c r="G175" s="150">
        <f t="shared" si="19"/>
        <v>6.507367612409188E-15</v>
      </c>
      <c r="H175" s="150">
        <f t="shared" si="20"/>
        <v>-8.599988634789442</v>
      </c>
      <c r="I175" s="150">
        <f t="shared" si="21"/>
        <v>4.388752950000203E-15</v>
      </c>
      <c r="J175" s="14">
        <f t="shared" si="22"/>
        <v>-14.83804665884841</v>
      </c>
      <c r="K175" s="137"/>
      <c r="L175" s="151">
        <f aca="true" t="shared" si="23" ref="L175:L182">SIN(RADIANS((180*(D175/$F$6))))</f>
        <v>0.3826834323650898</v>
      </c>
      <c r="M175" s="151">
        <f aca="true" t="shared" si="24" ref="M175:M182">COS(RADIANS(180*(D175/$F$6)))</f>
        <v>0.9238795325112867</v>
      </c>
      <c r="N175" s="151">
        <f aca="true" t="shared" si="25" ref="N175:N182">SIN(RADIANS(180*(E175/$H$6)))</f>
        <v>1.22514845490862E-16</v>
      </c>
      <c r="O175" s="151">
        <f aca="true" t="shared" si="26" ref="O175:O182">COS(RADIANS(180*(E175/$H$6)))</f>
        <v>-1</v>
      </c>
    </row>
    <row r="176" spans="2:15" ht="12.75">
      <c r="B176" s="53"/>
      <c r="C176" s="179"/>
      <c r="D176" s="10">
        <v>3</v>
      </c>
      <c r="E176" s="15">
        <v>12</v>
      </c>
      <c r="F176" s="150">
        <f t="shared" si="18"/>
        <v>1.2024047495263377E-14</v>
      </c>
      <c r="G176" s="150">
        <f t="shared" si="19"/>
        <v>1.2024047495263377E-14</v>
      </c>
      <c r="H176" s="150">
        <f t="shared" si="20"/>
        <v>-6.582146338123973</v>
      </c>
      <c r="I176" s="150">
        <f t="shared" si="21"/>
        <v>3.359006085416982E-15</v>
      </c>
      <c r="J176" s="14">
        <f t="shared" si="22"/>
        <v>-27.417135221115057</v>
      </c>
      <c r="K176" s="137"/>
      <c r="L176" s="151">
        <f t="shared" si="23"/>
        <v>0.7071067811865475</v>
      </c>
      <c r="M176" s="151">
        <f t="shared" si="24"/>
        <v>0.7071067811865476</v>
      </c>
      <c r="N176" s="151">
        <f t="shared" si="25"/>
        <v>1.22514845490862E-16</v>
      </c>
      <c r="O176" s="151">
        <f t="shared" si="26"/>
        <v>-1</v>
      </c>
    </row>
    <row r="177" spans="2:15" ht="12.75">
      <c r="B177" s="53"/>
      <c r="C177" s="179"/>
      <c r="D177" s="10">
        <v>4.5</v>
      </c>
      <c r="E177" s="15">
        <v>12</v>
      </c>
      <c r="F177" s="150">
        <f t="shared" si="18"/>
        <v>1.571017514522569E-14</v>
      </c>
      <c r="G177" s="150">
        <f t="shared" si="19"/>
        <v>1.571017514522569E-14</v>
      </c>
      <c r="H177" s="150">
        <f t="shared" si="20"/>
        <v>-3.562231928784266</v>
      </c>
      <c r="I177" s="150">
        <f t="shared" si="21"/>
        <v>1.8178809937950143E-15</v>
      </c>
      <c r="J177" s="14">
        <f t="shared" si="22"/>
        <v>-35.82221348291662</v>
      </c>
      <c r="K177" s="137"/>
      <c r="L177" s="151">
        <f t="shared" si="23"/>
        <v>0.9238795325112867</v>
      </c>
      <c r="M177" s="151">
        <f t="shared" si="24"/>
        <v>0.38268343236508984</v>
      </c>
      <c r="N177" s="151">
        <f t="shared" si="25"/>
        <v>1.22514845490862E-16</v>
      </c>
      <c r="O177" s="151">
        <f t="shared" si="26"/>
        <v>-1</v>
      </c>
    </row>
    <row r="178" spans="2:15" ht="12.75">
      <c r="B178" s="53"/>
      <c r="C178" s="179"/>
      <c r="D178" s="10">
        <v>6</v>
      </c>
      <c r="E178" s="15">
        <v>12</v>
      </c>
      <c r="F178" s="150">
        <f t="shared" si="18"/>
        <v>1.7004571042419712E-14</v>
      </c>
      <c r="G178" s="150">
        <f t="shared" si="19"/>
        <v>1.7004571042419712E-14</v>
      </c>
      <c r="H178" s="150">
        <f t="shared" si="20"/>
        <v>-5.702184331059017E-16</v>
      </c>
      <c r="I178" s="150">
        <f t="shared" si="21"/>
        <v>2.909943183313626E-31</v>
      </c>
      <c r="J178" s="14">
        <f t="shared" si="22"/>
        <v>-38.77368447111798</v>
      </c>
      <c r="K178" s="137"/>
      <c r="L178" s="151">
        <f t="shared" si="23"/>
        <v>1</v>
      </c>
      <c r="M178" s="151">
        <f t="shared" si="24"/>
        <v>6.1257422745431E-17</v>
      </c>
      <c r="N178" s="151">
        <f t="shared" si="25"/>
        <v>1.22514845490862E-16</v>
      </c>
      <c r="O178" s="151">
        <f t="shared" si="26"/>
        <v>-1</v>
      </c>
    </row>
    <row r="179" spans="2:15" ht="12.75">
      <c r="B179" s="53"/>
      <c r="C179" s="179"/>
      <c r="D179" s="10">
        <v>7.5</v>
      </c>
      <c r="E179" s="15">
        <v>12</v>
      </c>
      <c r="F179" s="150">
        <f t="shared" si="18"/>
        <v>1.571017514522569E-14</v>
      </c>
      <c r="G179" s="150">
        <f t="shared" si="19"/>
        <v>1.571017514522569E-14</v>
      </c>
      <c r="H179" s="150">
        <f t="shared" si="20"/>
        <v>3.562231928784265</v>
      </c>
      <c r="I179" s="150">
        <f t="shared" si="21"/>
        <v>-1.817880993795014E-15</v>
      </c>
      <c r="J179" s="14">
        <f t="shared" si="22"/>
        <v>-35.82221348291662</v>
      </c>
      <c r="K179" s="137"/>
      <c r="L179" s="151">
        <f t="shared" si="23"/>
        <v>0.9238795325112867</v>
      </c>
      <c r="M179" s="151">
        <f t="shared" si="24"/>
        <v>-0.3826834323650897</v>
      </c>
      <c r="N179" s="151">
        <f t="shared" si="25"/>
        <v>1.22514845490862E-16</v>
      </c>
      <c r="O179" s="151">
        <f t="shared" si="26"/>
        <v>-1</v>
      </c>
    </row>
    <row r="180" spans="2:15" ht="12.75">
      <c r="B180" s="53"/>
      <c r="C180" s="179"/>
      <c r="D180" s="10">
        <v>9</v>
      </c>
      <c r="E180" s="15">
        <v>12</v>
      </c>
      <c r="F180" s="150">
        <f t="shared" si="18"/>
        <v>1.2024047495263378E-14</v>
      </c>
      <c r="G180" s="150">
        <f t="shared" si="19"/>
        <v>1.2024047495263378E-14</v>
      </c>
      <c r="H180" s="150">
        <f t="shared" si="20"/>
        <v>6.582146338123972</v>
      </c>
      <c r="I180" s="150">
        <f t="shared" si="21"/>
        <v>-3.3590060854169817E-15</v>
      </c>
      <c r="J180" s="14">
        <f t="shared" si="22"/>
        <v>-27.41713522111506</v>
      </c>
      <c r="K180" s="137"/>
      <c r="L180" s="151">
        <f t="shared" si="23"/>
        <v>0.7071067811865476</v>
      </c>
      <c r="M180" s="151">
        <f t="shared" si="24"/>
        <v>-0.7071067811865475</v>
      </c>
      <c r="N180" s="151">
        <f t="shared" si="25"/>
        <v>1.22514845490862E-16</v>
      </c>
      <c r="O180" s="151">
        <f t="shared" si="26"/>
        <v>-1</v>
      </c>
    </row>
    <row r="181" spans="2:15" ht="12.75">
      <c r="B181" s="53"/>
      <c r="C181" s="179"/>
      <c r="D181" s="10">
        <v>10.5</v>
      </c>
      <c r="E181" s="15">
        <v>12</v>
      </c>
      <c r="F181" s="150">
        <f t="shared" si="18"/>
        <v>6.5073676124091894E-15</v>
      </c>
      <c r="G181" s="150">
        <f t="shared" si="19"/>
        <v>6.5073676124091894E-15</v>
      </c>
      <c r="H181" s="150">
        <f t="shared" si="20"/>
        <v>8.599988634789442</v>
      </c>
      <c r="I181" s="150">
        <f t="shared" si="21"/>
        <v>-4.388752950000203E-15</v>
      </c>
      <c r="J181" s="14">
        <f t="shared" si="22"/>
        <v>-14.838046658848414</v>
      </c>
      <c r="K181" s="137"/>
      <c r="L181" s="151">
        <f t="shared" si="23"/>
        <v>0.3826834323650899</v>
      </c>
      <c r="M181" s="151">
        <f t="shared" si="24"/>
        <v>-0.9238795325112867</v>
      </c>
      <c r="N181" s="151">
        <f t="shared" si="25"/>
        <v>1.22514845490862E-16</v>
      </c>
      <c r="O181" s="151">
        <f t="shared" si="26"/>
        <v>-1</v>
      </c>
    </row>
    <row r="182" spans="2:15" ht="12.75">
      <c r="B182" s="53"/>
      <c r="C182" s="182"/>
      <c r="D182" s="8">
        <v>12</v>
      </c>
      <c r="E182" s="52">
        <v>12</v>
      </c>
      <c r="F182" s="152">
        <f t="shared" si="18"/>
        <v>2.0833123939004373E-30</v>
      </c>
      <c r="G182" s="152">
        <f t="shared" si="19"/>
        <v>2.0833123939004373E-30</v>
      </c>
      <c r="H182" s="152">
        <f t="shared" si="20"/>
        <v>9.308560620899327</v>
      </c>
      <c r="I182" s="152">
        <f t="shared" si="21"/>
        <v>-4.7503519620904546E-15</v>
      </c>
      <c r="J182" s="13">
        <f t="shared" si="22"/>
        <v>-4.7503519620904546E-15</v>
      </c>
      <c r="K182" s="137"/>
      <c r="L182" s="151">
        <f t="shared" si="23"/>
        <v>1.22514845490862E-16</v>
      </c>
      <c r="M182" s="151">
        <f t="shared" si="24"/>
        <v>-1</v>
      </c>
      <c r="N182" s="151">
        <f t="shared" si="25"/>
        <v>1.22514845490862E-16</v>
      </c>
      <c r="O182" s="151">
        <f t="shared" si="26"/>
        <v>-1</v>
      </c>
    </row>
  </sheetData>
  <sheetProtection/>
  <protectedRanges>
    <protectedRange sqref="F13:G13" name="Inputs_1"/>
  </protectedRanges>
  <mergeCells count="44">
    <mergeCell ref="B100:B101"/>
    <mergeCell ref="C100:C101"/>
    <mergeCell ref="D100:E100"/>
    <mergeCell ref="F100:H100"/>
    <mergeCell ref="E72:F72"/>
    <mergeCell ref="E73:F73"/>
    <mergeCell ref="D99:J99"/>
    <mergeCell ref="E81:J82"/>
    <mergeCell ref="E78:F78"/>
    <mergeCell ref="E77:F77"/>
    <mergeCell ref="I100:J100"/>
    <mergeCell ref="G53:H53"/>
    <mergeCell ref="E50:F50"/>
    <mergeCell ref="E54:F54"/>
    <mergeCell ref="E58:F58"/>
    <mergeCell ref="E57:F57"/>
    <mergeCell ref="G54:H54"/>
    <mergeCell ref="G58:H58"/>
    <mergeCell ref="E56:H56"/>
    <mergeCell ref="E68:H68"/>
    <mergeCell ref="E69:H69"/>
    <mergeCell ref="E48:F48"/>
    <mergeCell ref="G57:H57"/>
    <mergeCell ref="E53:F53"/>
    <mergeCell ref="E61:F61"/>
    <mergeCell ref="D62:E62"/>
    <mergeCell ref="E60:F60"/>
    <mergeCell ref="E52:H52"/>
    <mergeCell ref="E49:F49"/>
    <mergeCell ref="E5:F5"/>
    <mergeCell ref="E45:F45"/>
    <mergeCell ref="H40:I40"/>
    <mergeCell ref="E40:F40"/>
    <mergeCell ref="G5:H5"/>
    <mergeCell ref="B2:K2"/>
    <mergeCell ref="E35:F35"/>
    <mergeCell ref="E30:F30"/>
    <mergeCell ref="G46:H46"/>
    <mergeCell ref="G45:H45"/>
    <mergeCell ref="G41:H41"/>
    <mergeCell ref="E46:F46"/>
    <mergeCell ref="E39:F39"/>
    <mergeCell ref="E42:F42"/>
    <mergeCell ref="E44:H44"/>
  </mergeCells>
  <dataValidations count="2">
    <dataValidation type="list" allowBlank="1" showInputMessage="1" showErrorMessage="1" sqref="F13:G13">
      <formula1>"15,20,25,30"</formula1>
    </dataValidation>
    <dataValidation type="list" allowBlank="1" showInputMessage="1" showErrorMessage="1" sqref="F14:G14">
      <formula1>"250,415,500"</formula1>
    </dataValidation>
  </dataValidations>
  <printOptions horizontalCentered="1" verticalCentered="1"/>
  <pageMargins left="0.25" right="0" top="0.1" bottom="0.1" header="0" footer="0"/>
  <pageSetup horizontalDpi="300" verticalDpi="3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B2:J53"/>
  <sheetViews>
    <sheetView workbookViewId="0" topLeftCell="A1">
      <selection activeCell="K14" sqref="K14"/>
    </sheetView>
  </sheetViews>
  <sheetFormatPr defaultColWidth="9.140625" defaultRowHeight="12.75"/>
  <cols>
    <col min="1" max="1" width="9.140625" style="43" customWidth="1"/>
    <col min="2" max="2" width="5.140625" style="43" customWidth="1"/>
    <col min="3" max="3" width="29.57421875" style="43" customWidth="1"/>
    <col min="4" max="4" width="13.421875" style="5" customWidth="1"/>
    <col min="5" max="5" width="9.140625" style="43" customWidth="1"/>
    <col min="6" max="6" width="22.8515625" style="43" bestFit="1" customWidth="1"/>
    <col min="7" max="7" width="13.140625" style="43" bestFit="1" customWidth="1"/>
    <col min="8" max="8" width="6.00390625" style="43" customWidth="1"/>
    <col min="9" max="9" width="8.421875" style="43" hidden="1" customWidth="1"/>
    <col min="10" max="10" width="0" style="43" hidden="1" customWidth="1"/>
    <col min="11" max="16384" width="9.140625" style="43" customWidth="1"/>
  </cols>
  <sheetData>
    <row r="2" spans="2:9" ht="15.75">
      <c r="B2" s="1214" t="s">
        <v>102</v>
      </c>
      <c r="C2" s="1215"/>
      <c r="D2" s="1215"/>
      <c r="E2" s="1215"/>
      <c r="F2" s="1215"/>
      <c r="G2" s="1215"/>
      <c r="H2" s="1216"/>
      <c r="I2" s="154"/>
    </row>
    <row r="3" spans="3:9" ht="15.75">
      <c r="C3" s="72"/>
      <c r="D3" s="72"/>
      <c r="E3" s="72"/>
      <c r="F3" s="72"/>
      <c r="G3" s="72"/>
      <c r="H3" s="72"/>
      <c r="I3" s="72"/>
    </row>
    <row r="4" spans="2:9" ht="15.75">
      <c r="B4" s="27"/>
      <c r="C4" s="155"/>
      <c r="D4" s="155"/>
      <c r="E4" s="155"/>
      <c r="F4" s="155"/>
      <c r="G4" s="155"/>
      <c r="H4" s="156"/>
      <c r="I4" s="72"/>
    </row>
    <row r="5" spans="2:8" ht="12.75">
      <c r="B5" s="53"/>
      <c r="C5" s="112" t="s">
        <v>87</v>
      </c>
      <c r="D5" s="4"/>
      <c r="E5" s="23"/>
      <c r="F5" s="23"/>
      <c r="G5" s="23"/>
      <c r="H5" s="137"/>
    </row>
    <row r="6" spans="2:8" ht="12.75">
      <c r="B6" s="53"/>
      <c r="C6" s="49" t="s">
        <v>81</v>
      </c>
      <c r="D6" s="80">
        <v>3</v>
      </c>
      <c r="E6" s="23"/>
      <c r="F6" s="23"/>
      <c r="G6" s="23"/>
      <c r="H6" s="137"/>
    </row>
    <row r="7" spans="2:8" ht="12.75">
      <c r="B7" s="53"/>
      <c r="C7" s="49" t="s">
        <v>82</v>
      </c>
      <c r="D7" s="64">
        <v>150</v>
      </c>
      <c r="E7" s="23"/>
      <c r="F7" s="23"/>
      <c r="G7" s="23"/>
      <c r="H7" s="137"/>
    </row>
    <row r="8" spans="2:8" ht="12.75">
      <c r="B8" s="53"/>
      <c r="C8" s="49" t="s">
        <v>83</v>
      </c>
      <c r="D8" s="64">
        <v>300</v>
      </c>
      <c r="E8" s="23"/>
      <c r="F8" s="23"/>
      <c r="G8" s="23"/>
      <c r="H8" s="137"/>
    </row>
    <row r="9" spans="2:8" ht="12.75">
      <c r="B9" s="53"/>
      <c r="C9" s="49" t="s">
        <v>84</v>
      </c>
      <c r="D9" s="64">
        <v>150</v>
      </c>
      <c r="E9" s="23"/>
      <c r="F9" s="23"/>
      <c r="G9" s="23"/>
      <c r="H9" s="137"/>
    </row>
    <row r="10" spans="2:8" ht="12.75">
      <c r="B10" s="53"/>
      <c r="C10" s="49" t="s">
        <v>86</v>
      </c>
      <c r="D10" s="64">
        <v>15</v>
      </c>
      <c r="E10" s="23"/>
      <c r="F10" s="23"/>
      <c r="G10" s="23"/>
      <c r="H10" s="137"/>
    </row>
    <row r="11" spans="2:8" ht="12.75">
      <c r="B11" s="53"/>
      <c r="C11" s="49" t="s">
        <v>85</v>
      </c>
      <c r="D11" s="74">
        <f>D9-(D10+F5)</f>
        <v>135</v>
      </c>
      <c r="E11" s="23"/>
      <c r="F11" s="23"/>
      <c r="G11" s="23"/>
      <c r="H11" s="137"/>
    </row>
    <row r="12" spans="2:8" ht="12.75">
      <c r="B12" s="53"/>
      <c r="C12" s="49"/>
      <c r="D12" s="74"/>
      <c r="E12" s="23"/>
      <c r="F12" s="23"/>
      <c r="G12" s="23"/>
      <c r="H12" s="137"/>
    </row>
    <row r="13" spans="2:8" ht="12.75">
      <c r="B13" s="53"/>
      <c r="C13" s="23" t="s">
        <v>100</v>
      </c>
      <c r="D13" s="71">
        <v>20</v>
      </c>
      <c r="E13" s="23"/>
      <c r="F13" s="23"/>
      <c r="G13" s="23"/>
      <c r="H13" s="137"/>
    </row>
    <row r="14" spans="2:8" ht="12.75">
      <c r="B14" s="53"/>
      <c r="C14" s="23" t="s">
        <v>101</v>
      </c>
      <c r="D14" s="71">
        <v>415</v>
      </c>
      <c r="E14" s="23"/>
      <c r="F14" s="23"/>
      <c r="G14" s="23"/>
      <c r="H14" s="137"/>
    </row>
    <row r="15" spans="2:8" ht="12.75">
      <c r="B15" s="53"/>
      <c r="C15" s="23"/>
      <c r="D15" s="4"/>
      <c r="E15" s="23"/>
      <c r="F15" s="23"/>
      <c r="G15" s="23"/>
      <c r="H15" s="137"/>
    </row>
    <row r="16" spans="2:8" ht="12.75">
      <c r="B16" s="53"/>
      <c r="C16" s="18" t="s">
        <v>88</v>
      </c>
      <c r="D16" s="4"/>
      <c r="E16" s="23"/>
      <c r="F16" s="23"/>
      <c r="G16" s="23"/>
      <c r="H16" s="137"/>
    </row>
    <row r="17" spans="2:8" ht="12.75">
      <c r="B17" s="53"/>
      <c r="C17" s="175" t="s">
        <v>89</v>
      </c>
      <c r="D17" s="9"/>
      <c r="E17" s="23"/>
      <c r="F17" s="175" t="s">
        <v>97</v>
      </c>
      <c r="G17" s="9"/>
      <c r="H17" s="137"/>
    </row>
    <row r="18" spans="2:8" ht="12.75">
      <c r="B18" s="53"/>
      <c r="C18" s="909" t="s">
        <v>90</v>
      </c>
      <c r="D18" s="77">
        <f>(D9/1000)*((SQRT(((D7/1000)^2)+((D8/1000)^2)))/(D8/1000))*25</f>
        <v>4.192627457812105</v>
      </c>
      <c r="E18" s="23"/>
      <c r="F18" s="49" t="s">
        <v>94</v>
      </c>
      <c r="G18" s="75">
        <f>(D9/1000)*25</f>
        <v>3.75</v>
      </c>
      <c r="H18" s="137"/>
    </row>
    <row r="19" spans="2:8" ht="12.75">
      <c r="B19" s="53"/>
      <c r="C19" s="909" t="s">
        <v>91</v>
      </c>
      <c r="D19" s="77">
        <f>((D7/1000)/2)*25</f>
        <v>1.875</v>
      </c>
      <c r="E19" s="23"/>
      <c r="F19" s="955" t="s">
        <v>92</v>
      </c>
      <c r="G19" s="81">
        <v>2</v>
      </c>
      <c r="H19" s="137"/>
    </row>
    <row r="20" spans="2:8" ht="12.75">
      <c r="B20" s="53"/>
      <c r="C20" s="955" t="s">
        <v>92</v>
      </c>
      <c r="D20" s="954">
        <v>3</v>
      </c>
      <c r="E20" s="23"/>
      <c r="F20" s="956" t="s">
        <v>93</v>
      </c>
      <c r="G20" s="81">
        <v>1</v>
      </c>
      <c r="H20" s="137"/>
    </row>
    <row r="21" spans="2:8" ht="12.75">
      <c r="B21" s="53"/>
      <c r="C21" s="956" t="s">
        <v>93</v>
      </c>
      <c r="D21" s="81">
        <v>1</v>
      </c>
      <c r="E21" s="23"/>
      <c r="F21" s="76" t="s">
        <v>95</v>
      </c>
      <c r="G21" s="77">
        <f>SUM(G17:G20)</f>
        <v>6.75</v>
      </c>
      <c r="H21" s="137"/>
    </row>
    <row r="22" spans="2:8" ht="12.75">
      <c r="B22" s="53"/>
      <c r="C22" s="76" t="s">
        <v>95</v>
      </c>
      <c r="D22" s="77">
        <f>SUM(D18:D21)</f>
        <v>10.067627457812105</v>
      </c>
      <c r="E22" s="23"/>
      <c r="F22" s="78" t="s">
        <v>96</v>
      </c>
      <c r="G22" s="79">
        <f>1.5*G21</f>
        <v>10.125</v>
      </c>
      <c r="H22" s="137"/>
    </row>
    <row r="23" spans="2:8" ht="12.75">
      <c r="B23" s="53"/>
      <c r="C23" s="78" t="s">
        <v>96</v>
      </c>
      <c r="D23" s="79">
        <f>1.5*D22</f>
        <v>15.101441186718157</v>
      </c>
      <c r="E23" s="23"/>
      <c r="F23" s="23"/>
      <c r="G23" s="23"/>
      <c r="H23" s="137"/>
    </row>
    <row r="24" spans="2:8" ht="12.75">
      <c r="B24" s="53"/>
      <c r="C24" s="78"/>
      <c r="D24" s="79"/>
      <c r="E24" s="23"/>
      <c r="F24" s="23"/>
      <c r="G24" s="23"/>
      <c r="H24" s="137"/>
    </row>
    <row r="25" spans="2:8" ht="12.75">
      <c r="B25" s="53"/>
      <c r="C25" s="78"/>
      <c r="D25" s="79"/>
      <c r="E25" s="23"/>
      <c r="F25" s="23"/>
      <c r="G25" s="23"/>
      <c r="H25" s="137"/>
    </row>
    <row r="26" spans="2:8" ht="12.75">
      <c r="B26" s="53"/>
      <c r="C26" s="112" t="s">
        <v>103</v>
      </c>
      <c r="D26" s="4"/>
      <c r="E26" s="23"/>
      <c r="F26" s="23"/>
      <c r="G26" s="23"/>
      <c r="H26" s="137"/>
    </row>
    <row r="27" spans="2:8" ht="12.75">
      <c r="B27" s="53"/>
      <c r="C27" s="23"/>
      <c r="D27" s="4"/>
      <c r="E27" s="23"/>
      <c r="F27" s="23"/>
      <c r="G27" s="23"/>
      <c r="H27" s="137"/>
    </row>
    <row r="28" spans="2:10" ht="12.75">
      <c r="B28" s="53"/>
      <c r="C28" s="23"/>
      <c r="D28" s="4"/>
      <c r="E28" s="23"/>
      <c r="F28" s="23"/>
      <c r="H28" s="137"/>
      <c r="J28" s="43" t="b">
        <v>1</v>
      </c>
    </row>
    <row r="29" spans="2:8" ht="12.75" customHeight="1">
      <c r="B29" s="53"/>
      <c r="C29" s="173">
        <f>IF(J28=TRUE,(D23*D6*D6)/8,"")</f>
        <v>16.989121335057927</v>
      </c>
      <c r="D29" s="4"/>
      <c r="E29" s="23"/>
      <c r="F29" s="23"/>
      <c r="G29" s="23"/>
      <c r="H29" s="137"/>
    </row>
    <row r="30" spans="2:8" ht="12.75" customHeight="1">
      <c r="B30" s="53"/>
      <c r="D30" s="4"/>
      <c r="E30" s="23"/>
      <c r="F30" s="23"/>
      <c r="G30" s="23"/>
      <c r="H30" s="137"/>
    </row>
    <row r="31" spans="2:8" ht="12.75" customHeight="1">
      <c r="B31" s="53"/>
      <c r="C31" s="112" t="s">
        <v>879</v>
      </c>
      <c r="D31" s="4"/>
      <c r="E31" s="23"/>
      <c r="F31" s="23"/>
      <c r="G31" s="23"/>
      <c r="H31" s="137"/>
    </row>
    <row r="32" spans="2:10" ht="12.75">
      <c r="B32" s="53"/>
      <c r="C32" s="1092">
        <f>D23*D6/2</f>
        <v>22.652161780077236</v>
      </c>
      <c r="G32" s="23"/>
      <c r="H32" s="137"/>
      <c r="J32" s="43">
        <f>IF(J28=TRUE,1,0)</f>
        <v>1</v>
      </c>
    </row>
    <row r="33" spans="2:8" ht="12.75">
      <c r="B33" s="53"/>
      <c r="C33" s="1378">
        <f>IF(J28=TRUE,"","Enter the Value of Bending Moment calculated by analysis =")</f>
      </c>
      <c r="D33" s="1378"/>
      <c r="E33" s="1378"/>
      <c r="F33" s="174">
        <v>60</v>
      </c>
      <c r="G33" s="73"/>
      <c r="H33" s="137"/>
    </row>
    <row r="34" spans="2:8" ht="12.75">
      <c r="B34" s="53"/>
      <c r="C34" s="23"/>
      <c r="D34" s="4"/>
      <c r="E34" s="23"/>
      <c r="F34" s="23"/>
      <c r="G34" s="23"/>
      <c r="H34" s="137"/>
    </row>
    <row r="35" spans="2:8" ht="12.75">
      <c r="B35" s="53"/>
      <c r="C35" s="18" t="s">
        <v>98</v>
      </c>
      <c r="D35" s="50"/>
      <c r="E35" s="3"/>
      <c r="F35" s="131"/>
      <c r="G35" s="131"/>
      <c r="H35" s="157"/>
    </row>
    <row r="36" spans="2:8" ht="12.75">
      <c r="B36" s="53"/>
      <c r="C36" s="44" t="s">
        <v>5</v>
      </c>
      <c r="D36" s="82">
        <f>IF(J28=TRUE,((0.5*D13*1000*D11*(1-SQRT(1-((C29*4.6*1000000)/(D13*1000*D11^2)))))/D14),((0.5*D13*1000*D11*(1-SQRT(1-((F33*4.6*1000000)/(D13*1000*D11^2)))))/D14))</f>
        <v>369.7406028928065</v>
      </c>
      <c r="E36" s="3"/>
      <c r="F36" s="4"/>
      <c r="G36" s="4"/>
      <c r="H36" s="137"/>
    </row>
    <row r="37" spans="2:8" ht="12.75">
      <c r="B37" s="53"/>
      <c r="C37" s="4"/>
      <c r="D37" s="50"/>
      <c r="E37" s="3"/>
      <c r="F37" s="4"/>
      <c r="G37" s="4"/>
      <c r="H37" s="137"/>
    </row>
    <row r="38" spans="2:8" ht="12.75">
      <c r="B38" s="53"/>
      <c r="C38" s="18" t="s">
        <v>25</v>
      </c>
      <c r="D38" s="50"/>
      <c r="E38" s="3"/>
      <c r="F38" s="4"/>
      <c r="G38" s="4"/>
      <c r="H38" s="137"/>
    </row>
    <row r="39" spans="2:8" ht="15">
      <c r="B39" s="53"/>
      <c r="C39" s="176" t="s">
        <v>66</v>
      </c>
      <c r="D39" s="59" t="s">
        <v>75</v>
      </c>
      <c r="E39" s="59" t="s">
        <v>74</v>
      </c>
      <c r="F39" s="23"/>
      <c r="G39" s="23"/>
      <c r="H39" s="137"/>
    </row>
    <row r="40" spans="2:8" ht="12.75">
      <c r="B40" s="53"/>
      <c r="C40" s="177" t="s">
        <v>67</v>
      </c>
      <c r="D40" s="58">
        <f>((((PI()*12^2)/4)/D36)*1000)</f>
        <v>305.88292074057443</v>
      </c>
      <c r="E40" s="58">
        <f>((((PI()*16^2)/4)/D36)*1000)</f>
        <v>543.7918590943545</v>
      </c>
      <c r="F40" s="23"/>
      <c r="G40" s="23"/>
      <c r="H40" s="137"/>
    </row>
    <row r="41" spans="2:8" ht="12.75">
      <c r="B41" s="53"/>
      <c r="C41" s="92"/>
      <c r="D41" s="58"/>
      <c r="E41" s="58"/>
      <c r="F41" s="23"/>
      <c r="G41" s="23"/>
      <c r="H41" s="137"/>
    </row>
    <row r="42" spans="2:8" ht="12.75">
      <c r="B42" s="53"/>
      <c r="C42" s="92" t="s">
        <v>239</v>
      </c>
      <c r="D42" s="58"/>
      <c r="E42" s="58"/>
      <c r="F42" s="23"/>
      <c r="G42" s="23"/>
      <c r="H42" s="137"/>
    </row>
    <row r="43" spans="2:8" ht="12.75">
      <c r="B43" s="53"/>
      <c r="C43" s="23"/>
      <c r="D43" s="4"/>
      <c r="E43" s="23"/>
      <c r="F43" s="23"/>
      <c r="G43" s="23"/>
      <c r="H43" s="137"/>
    </row>
    <row r="44" spans="2:8" ht="12.75">
      <c r="B44" s="53"/>
      <c r="C44" s="23"/>
      <c r="D44" s="4"/>
      <c r="E44" s="23"/>
      <c r="F44" s="23"/>
      <c r="G44" s="23"/>
      <c r="H44" s="137"/>
    </row>
    <row r="45" spans="2:8" ht="12.75">
      <c r="B45" s="53"/>
      <c r="C45" s="18" t="s">
        <v>99</v>
      </c>
      <c r="D45" s="50"/>
      <c r="E45" s="3"/>
      <c r="F45" s="23"/>
      <c r="G45" s="23"/>
      <c r="H45" s="137"/>
    </row>
    <row r="46" spans="2:8" ht="12.75">
      <c r="B46" s="53"/>
      <c r="C46" s="44" t="s">
        <v>5</v>
      </c>
      <c r="D46" s="82">
        <f>0.0012*1000*D9</f>
        <v>180</v>
      </c>
      <c r="E46" s="3"/>
      <c r="F46" s="23"/>
      <c r="G46" s="23"/>
      <c r="H46" s="137"/>
    </row>
    <row r="47" spans="2:8" ht="12.75">
      <c r="B47" s="53"/>
      <c r="C47" s="4"/>
      <c r="D47" s="50"/>
      <c r="E47" s="3"/>
      <c r="F47" s="23"/>
      <c r="G47" s="23"/>
      <c r="H47" s="137"/>
    </row>
    <row r="48" spans="2:8" ht="12.75">
      <c r="B48" s="53"/>
      <c r="C48" s="18" t="s">
        <v>25</v>
      </c>
      <c r="D48" s="50"/>
      <c r="E48" s="3"/>
      <c r="F48" s="23"/>
      <c r="G48" s="23"/>
      <c r="H48" s="137"/>
    </row>
    <row r="49" spans="2:8" ht="15">
      <c r="B49" s="53"/>
      <c r="C49" s="176" t="s">
        <v>66</v>
      </c>
      <c r="D49" s="59" t="s">
        <v>73</v>
      </c>
      <c r="E49" s="59" t="s">
        <v>76</v>
      </c>
      <c r="F49" s="23"/>
      <c r="G49" s="23"/>
      <c r="H49" s="137"/>
    </row>
    <row r="50" spans="2:8" ht="12.75">
      <c r="B50" s="53"/>
      <c r="C50" s="177" t="s">
        <v>68</v>
      </c>
      <c r="D50" s="58">
        <f>((((PI()*8^2)/4)/D46)*1000)</f>
        <v>279.25268031909275</v>
      </c>
      <c r="E50" s="58">
        <f>((((PI()*10^2)/4)/D46)*1000)</f>
        <v>436.3323129985824</v>
      </c>
      <c r="F50" s="23"/>
      <c r="G50" s="23"/>
      <c r="H50" s="137"/>
    </row>
    <row r="51" spans="2:8" ht="12.75">
      <c r="B51" s="53"/>
      <c r="C51" s="92"/>
      <c r="D51" s="58"/>
      <c r="E51" s="58"/>
      <c r="F51" s="23"/>
      <c r="G51" s="23"/>
      <c r="H51" s="137"/>
    </row>
    <row r="52" spans="2:8" ht="12.75">
      <c r="B52" s="53"/>
      <c r="C52" s="92" t="s">
        <v>240</v>
      </c>
      <c r="D52" s="4"/>
      <c r="E52" s="23"/>
      <c r="F52" s="23"/>
      <c r="G52" s="23"/>
      <c r="H52" s="137"/>
    </row>
    <row r="53" spans="2:8" ht="12.75">
      <c r="B53" s="29"/>
      <c r="C53" s="30"/>
      <c r="D53" s="9"/>
      <c r="E53" s="30"/>
      <c r="F53" s="30"/>
      <c r="G53" s="30"/>
      <c r="H53" s="140"/>
    </row>
  </sheetData>
  <sheetProtection/>
  <protectedRanges>
    <protectedRange sqref="C6:D10 D11:D12" name="Inputs"/>
    <protectedRange sqref="G18:G20 D18:D22" name="Inputs_1"/>
    <protectedRange sqref="D13" name="Inputs_1_1"/>
  </protectedRanges>
  <mergeCells count="2">
    <mergeCell ref="C33:E33"/>
    <mergeCell ref="B2:H2"/>
  </mergeCells>
  <conditionalFormatting sqref="F33">
    <cfRule type="expression" priority="1" dxfId="28" stopIfTrue="1">
      <formula>$J$32=1</formula>
    </cfRule>
  </conditionalFormatting>
  <dataValidations count="2">
    <dataValidation type="list" allowBlank="1" showInputMessage="1" showErrorMessage="1" sqref="D13">
      <formula1>"15,20,25,30"</formula1>
    </dataValidation>
    <dataValidation type="list" allowBlank="1" showInputMessage="1" showErrorMessage="1" sqref="D14">
      <formula1>"250,415,500"</formula1>
    </dataValidation>
  </dataValidations>
  <printOptions/>
  <pageMargins left="0.44" right="0" top="1" bottom="1" header="0.08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3:J30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32.7109375" style="0" bestFit="1" customWidth="1"/>
    <col min="2" max="2" width="5.8515625" style="0" customWidth="1"/>
    <col min="3" max="3" width="9.28125" style="184" customWidth="1"/>
    <col min="4" max="4" width="3.8515625" style="0" customWidth="1"/>
    <col min="5" max="5" width="11.00390625" style="0" customWidth="1"/>
    <col min="8" max="10" width="0" style="0" hidden="1" customWidth="1"/>
  </cols>
  <sheetData>
    <row r="3" spans="1:4" ht="12.75">
      <c r="A3" t="s">
        <v>214</v>
      </c>
      <c r="C3" s="185" t="s">
        <v>778</v>
      </c>
      <c r="D3" s="187" t="s">
        <v>218</v>
      </c>
    </row>
    <row r="4" spans="1:3" ht="12.75">
      <c r="A4" t="s">
        <v>213</v>
      </c>
      <c r="B4" t="s">
        <v>215</v>
      </c>
      <c r="C4" s="186">
        <f>IF(C3="II",0.1,IF(C3="III",0.16,IF(C3="IV",0.24,0.36)))</f>
        <v>0.1</v>
      </c>
    </row>
    <row r="6" spans="1:4" ht="12.75">
      <c r="A6" t="s">
        <v>216</v>
      </c>
      <c r="B6" t="s">
        <v>217</v>
      </c>
      <c r="C6" s="185">
        <v>1.5</v>
      </c>
      <c r="D6" s="187" t="s">
        <v>220</v>
      </c>
    </row>
    <row r="8" spans="1:4" ht="12.75">
      <c r="A8" t="s">
        <v>221</v>
      </c>
      <c r="B8" t="s">
        <v>222</v>
      </c>
      <c r="C8" s="185">
        <v>3</v>
      </c>
      <c r="D8" s="187" t="s">
        <v>219</v>
      </c>
    </row>
    <row r="10" spans="1:4" ht="12.75">
      <c r="A10" t="s">
        <v>225</v>
      </c>
      <c r="B10" t="s">
        <v>37</v>
      </c>
      <c r="C10" s="185">
        <v>65.6</v>
      </c>
      <c r="D10" t="s">
        <v>238</v>
      </c>
    </row>
    <row r="11" spans="1:4" ht="12.75">
      <c r="A11" t="s">
        <v>226</v>
      </c>
      <c r="B11" t="s">
        <v>227</v>
      </c>
      <c r="C11" s="185">
        <v>50.4</v>
      </c>
      <c r="D11" t="s">
        <v>238</v>
      </c>
    </row>
    <row r="12" ht="12.75">
      <c r="C12" s="185"/>
    </row>
    <row r="13" spans="2:5" ht="12.75">
      <c r="B13" s="1380" t="s">
        <v>241</v>
      </c>
      <c r="C13" s="1380"/>
      <c r="D13" s="1380"/>
      <c r="E13" s="1380"/>
    </row>
    <row r="14" spans="1:5" ht="15.75">
      <c r="A14" t="s">
        <v>223</v>
      </c>
      <c r="B14" t="s">
        <v>224</v>
      </c>
      <c r="C14" s="761">
        <f>(0.09*C11)/(SQRT(C10))</f>
        <v>0.5600426813003173</v>
      </c>
      <c r="E14" s="188"/>
    </row>
    <row r="15" ht="12.75">
      <c r="C15" s="188"/>
    </row>
    <row r="16" spans="1:4" ht="12.75">
      <c r="A16" t="s">
        <v>230</v>
      </c>
      <c r="B16" s="1379" t="s">
        <v>231</v>
      </c>
      <c r="C16" s="1379"/>
      <c r="D16" s="1379"/>
    </row>
    <row r="18" spans="1:10" ht="15.75">
      <c r="A18" t="s">
        <v>228</v>
      </c>
      <c r="B18" t="s">
        <v>229</v>
      </c>
      <c r="C18" s="189">
        <f>H30</f>
        <v>2.4283863452019894</v>
      </c>
      <c r="H18" t="b">
        <f>IF(B16="Rocky or Hard Soil",IF(AND(C14&gt;0,C14&lt;0.1),(1+(15*C14))))</f>
        <v>0</v>
      </c>
      <c r="I18" t="b">
        <f>IF(B16="Medium Soil",IF(AND(C14&gt;0,C14&lt;0.1),(1+(15*C14))))</f>
        <v>0</v>
      </c>
      <c r="J18" t="b">
        <f>IF(B16="Soft Soil",IF(AND(C14&gt;0,C14&lt;0.1),(1+(15*C14))))</f>
        <v>0</v>
      </c>
    </row>
    <row r="19" spans="8:10" ht="12.75">
      <c r="H19" t="b">
        <f>IF(B16="Rocky or Hard Soil",IF(AND(C14&gt;=0.1,C14&lt;=0.4),2.5))</f>
        <v>0</v>
      </c>
      <c r="I19" t="b">
        <f>IF(B16="Medium Soil",IF(AND(C14&gt;=0.1,C14&lt;=0.55),2.5))</f>
        <v>0</v>
      </c>
      <c r="J19" t="b">
        <f>IF(B16="Soft Soil",IF(AND(C14&gt;=0.1,C14&lt;=0.67),2.5))</f>
        <v>0</v>
      </c>
    </row>
    <row r="20" spans="1:10" ht="15.75">
      <c r="A20" t="s">
        <v>232</v>
      </c>
      <c r="B20" t="s">
        <v>233</v>
      </c>
      <c r="C20" s="186">
        <f>(C4*C6*C18)/(2*C8)</f>
        <v>0.06070965863004974</v>
      </c>
      <c r="H20" t="b">
        <f>IF(B16="Rocky or Hard Soil",IF(AND(C14&gt;=0.4,C14&lt;=4),(1/C14)))</f>
        <v>0</v>
      </c>
      <c r="I20">
        <f>IF(B16="Medium Soil",IF(AND(C14&gt;=0.55,C14&lt;=4),(1.36/C14)))</f>
        <v>2.4283863452019894</v>
      </c>
      <c r="J20" t="b">
        <f>IF(B16="Soft Soil",IF(AND(C14&gt;=0.67,C14&lt;=4),(1.67/C14)))</f>
        <v>0</v>
      </c>
    </row>
    <row r="21" ht="12.75">
      <c r="C21" s="186"/>
    </row>
    <row r="22" spans="1:10" ht="12.75">
      <c r="A22" t="s">
        <v>236</v>
      </c>
      <c r="B22" t="s">
        <v>237</v>
      </c>
      <c r="C22" s="185">
        <v>680034</v>
      </c>
      <c r="D22" t="s">
        <v>24</v>
      </c>
      <c r="H22" t="b">
        <f>ISNUMBER(H18)</f>
        <v>0</v>
      </c>
      <c r="I22" t="b">
        <f>ISNUMBER(I18)</f>
        <v>0</v>
      </c>
      <c r="J22" t="b">
        <f>ISNUMBER(J18)</f>
        <v>0</v>
      </c>
    </row>
    <row r="23" spans="8:10" ht="12.75">
      <c r="H23" t="b">
        <f aca="true" t="shared" si="0" ref="H23:J24">ISNUMBER(H19)</f>
        <v>0</v>
      </c>
      <c r="I23" t="b">
        <f t="shared" si="0"/>
        <v>0</v>
      </c>
      <c r="J23" t="b">
        <f t="shared" si="0"/>
        <v>0</v>
      </c>
    </row>
    <row r="24" spans="1:10" ht="15.75">
      <c r="A24" t="s">
        <v>234</v>
      </c>
      <c r="B24" t="s">
        <v>235</v>
      </c>
      <c r="C24" s="186">
        <f>C20*C22</f>
        <v>41284.631996827244</v>
      </c>
      <c r="D24" t="s">
        <v>24</v>
      </c>
      <c r="H24" t="b">
        <f t="shared" si="0"/>
        <v>0</v>
      </c>
      <c r="I24" t="b">
        <f t="shared" si="0"/>
        <v>1</v>
      </c>
      <c r="J24" t="b">
        <f t="shared" si="0"/>
        <v>0</v>
      </c>
    </row>
    <row r="26" spans="8:10" ht="12.75">
      <c r="H26" t="b">
        <f>IF(H22=TRUE,H18,IF(H23=TRUE,H19,IF(H24=TRUE,H20)))</f>
        <v>0</v>
      </c>
      <c r="I26">
        <f>IF(I22=TRUE,I18,IF(I23=TRUE,I19,IF(I24=TRUE,I20)))</f>
        <v>2.4283863452019894</v>
      </c>
      <c r="J26" t="b">
        <f>IF(J22=TRUE,J18,IF(J23=TRUE,J19,IF(J24=TRUE,J20)))</f>
        <v>0</v>
      </c>
    </row>
    <row r="28" spans="8:10" ht="12.75">
      <c r="H28" t="b">
        <f>ISNUMBER(H26)</f>
        <v>0</v>
      </c>
      <c r="I28" t="b">
        <f>ISNUMBER(I26)</f>
        <v>1</v>
      </c>
      <c r="J28" t="b">
        <f>ISNUMBER(J26)</f>
        <v>0</v>
      </c>
    </row>
    <row r="30" ht="12.75">
      <c r="H30">
        <f>IF(H28=TRUE,H26,IF(I28=TRUE,I26,IF(J28=TRUE,J26)))</f>
        <v>2.4283863452019894</v>
      </c>
    </row>
  </sheetData>
  <sheetProtection/>
  <mergeCells count="3">
    <mergeCell ref="B16:D16"/>
    <mergeCell ref="B13:C13"/>
    <mergeCell ref="D13:E13"/>
  </mergeCells>
  <dataValidations count="4">
    <dataValidation type="list" allowBlank="1" showInputMessage="1" showErrorMessage="1" sqref="C3">
      <formula1>"II,III,IV,V"</formula1>
    </dataValidation>
    <dataValidation type="list" allowBlank="1" showInputMessage="1" showErrorMessage="1" sqref="C6">
      <formula1>"1,1.5"</formula1>
    </dataValidation>
    <dataValidation type="list" allowBlank="1" showInputMessage="1" showErrorMessage="1" sqref="C8">
      <formula1>"1.5,2.5,3,4,4.5,5"</formula1>
    </dataValidation>
    <dataValidation type="list" allowBlank="1" showInputMessage="1" showErrorMessage="1" sqref="B16">
      <formula1>"Rocky or Hard Soil,Medium Soil,Soft Soil"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sys23</dc:creator>
  <cp:keywords/>
  <dc:description/>
  <cp:lastModifiedBy>Human01</cp:lastModifiedBy>
  <cp:lastPrinted>2010-03-12T06:33:04Z</cp:lastPrinted>
  <dcterms:created xsi:type="dcterms:W3CDTF">2008-02-29T06:41:47Z</dcterms:created>
  <dcterms:modified xsi:type="dcterms:W3CDTF">2010-04-06T11:06:35Z</dcterms:modified>
  <cp:category/>
  <cp:version/>
  <cp:contentType/>
  <cp:contentStatus/>
</cp:coreProperties>
</file>