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5"/>
  </bookViews>
  <sheets>
    <sheet name="Beam" sheetId="1" r:id="rId1"/>
    <sheet name="DeepBeam" sheetId="2" r:id="rId2"/>
    <sheet name="2WaySlab" sheetId="3" r:id="rId3"/>
    <sheet name="C-table" sheetId="4" r:id="rId4"/>
    <sheet name="ShortColumn" sheetId="5" r:id="rId5"/>
    <sheet name="Br.Footing" sheetId="6" r:id="rId6"/>
    <sheet name="Sheet3" sheetId="7" r:id="rId7"/>
  </sheets>
  <definedNames>
    <definedName name="_xlnm.Print_Area" localSheetId="2">'2WaySlab'!$A$1:$D$108</definedName>
    <definedName name="_xlnm.Print_Area" localSheetId="0">'Beam'!$A$1:$D$118</definedName>
    <definedName name="_xlnm.Print_Area" localSheetId="5">'Br.Footing'!$A$1:$D$88</definedName>
    <definedName name="_xlnm.Print_Area" localSheetId="3">'C-table'!$A$1:$H$26</definedName>
    <definedName name="_xlnm.Print_Area" localSheetId="1">'DeepBeam'!$A$1:$D$103</definedName>
    <definedName name="_xlnm.Print_Area" localSheetId="6">'Sheet3'!$A$1:$P$12</definedName>
  </definedNames>
  <calcPr fullCalcOnLoad="1"/>
</workbook>
</file>

<file path=xl/sharedStrings.xml><?xml version="1.0" encoding="utf-8"?>
<sst xmlns="http://schemas.openxmlformats.org/spreadsheetml/2006/main" count="903" uniqueCount="548">
  <si>
    <t>A</t>
  </si>
  <si>
    <t>C</t>
  </si>
  <si>
    <t>D</t>
  </si>
  <si>
    <t>Line</t>
  </si>
  <si>
    <t>รายการ</t>
  </si>
  <si>
    <t>หน่วย</t>
  </si>
  <si>
    <t>ค่า</t>
  </si>
  <si>
    <t>ขั้นตอนที่ 1 Design parameters</t>
  </si>
  <si>
    <t>กำลังประลัยของคอนกรีต, fc'</t>
  </si>
  <si>
    <t>ksc</t>
  </si>
  <si>
    <t>กำลังครากของเหล็กเสริมหลัก, fy</t>
  </si>
  <si>
    <t>กำลังครากของเหล็กปลอก, fys</t>
  </si>
  <si>
    <t>Beta1 = 0.85 เมื่อ fc' &lt;= 280 ksc และ = 0.85-0.05(fc'-280)/70 ไม่น้อยกว่า 0.65</t>
  </si>
  <si>
    <t>Rob=Beta1*0.85fc'*6120/fy/(6120+fy)</t>
  </si>
  <si>
    <t>maxRo = 0.75Rob</t>
  </si>
  <si>
    <t>minRo = 14/fy</t>
  </si>
  <si>
    <t>ป้อนข้อมูลที่กำหนดให้</t>
  </si>
  <si>
    <t>ความยาวช่วงคาน</t>
  </si>
  <si>
    <t>m</t>
  </si>
  <si>
    <t>น้ำหนักบรรทุกคงที่ (ไม่รวมน้ำหนักคาน)</t>
  </si>
  <si>
    <t>kg/m</t>
  </si>
  <si>
    <t>น้ำหนักบรรทุกจร</t>
  </si>
  <si>
    <t>ประมาณความลึกคาน</t>
  </si>
  <si>
    <t>ไม่ต้องตรวจการโก่ง h &gt;= (L/16)(0.4+fy/7000)</t>
  </si>
  <si>
    <t>ความลึกคานที่แนะนำ h &gt;= L/10</t>
  </si>
  <si>
    <t>ป้อนความลึกคานที่จะเลือกใช้</t>
  </si>
  <si>
    <t>ประมาณความกว้างคาน</t>
  </si>
  <si>
    <t>b &gt;= h/5</t>
  </si>
  <si>
    <t>b &gt;= L/35</t>
  </si>
  <si>
    <t>b &gt;= 0.20 m</t>
  </si>
  <si>
    <t>เลือกใช้ความกว้างคาน b = bw =</t>
  </si>
  <si>
    <t>ระยะหุ้มเหล็กที่ขอบบนและล่าง &gt;= 4 cm</t>
  </si>
  <si>
    <t>cm</t>
  </si>
  <si>
    <t>ประมาณขนาดเหล็กปลอกหรือเหล็กลูกตั้ง 6,9,10,12 mm</t>
  </si>
  <si>
    <t>mm</t>
  </si>
  <si>
    <t>ประมาณขนาดเหล็กรับแรงดึง 12,15,16,19,20,25,28,32 mm</t>
  </si>
  <si>
    <t>ประมาณจำนวนชั้นของเหล็กรับแรงดึง</t>
  </si>
  <si>
    <t>ชั้น</t>
  </si>
  <si>
    <t>ความลึกประสิทธิผล d กรณี 1 ชั้น</t>
  </si>
  <si>
    <t>ความลึกประสิทธิผล d กรณี 2 ชั้น</t>
  </si>
  <si>
    <t>ความลึกประสิทธิผล d กรณี 3 ชั้น</t>
  </si>
  <si>
    <t>ความลึกประสิทธิผล d กรณี 4 ชั้น</t>
  </si>
  <si>
    <t>เลือกใช้ความลึกประสิทธิผล d ที่ต้องการ</t>
  </si>
  <si>
    <t>ประมาณขนาดเหล็กรับแรงอัด 12,15,16,19,20,25,28,32 mm</t>
  </si>
  <si>
    <t>ประมาณจำนวนชั้นของเหล็กรับแรงอัด</t>
  </si>
  <si>
    <t>ตำแหน่งเหล็กรับแรงอัด กรณี 1 ชั้น</t>
  </si>
  <si>
    <t>เลือกใช้ตำแหน่งเหล็กรับแรงอัด d' ที่ต้องการ</t>
  </si>
  <si>
    <t>ตำแหน่งเหล็กรับแรงอัด กรณี 2 ชั้น</t>
  </si>
  <si>
    <t>ตำแหน่งเหล็กรับแรงอัด กรณี 3 ชั้น</t>
  </si>
  <si>
    <t>ตำแหน่งเหล็กรับแรงอัด กรณี 4 ชั้น</t>
  </si>
  <si>
    <t>น้ำหนักคาน wG = 2400bw*h</t>
  </si>
  <si>
    <t>แรงดัดสูงสุดที่กลางคาน Mu = wu*L^2/8</t>
  </si>
  <si>
    <t>kg.m</t>
  </si>
  <si>
    <t>แรงเฉือนที่หน้าตัดวิกฤต Vu = wu*(L/2-d/100)</t>
  </si>
  <si>
    <t>kg</t>
  </si>
  <si>
    <t>แรงดัดที่หน้าตัดวิกฤต Mu1 = Vu*d/100-wu*d^2/20000</t>
  </si>
  <si>
    <t>ตรวจสอบว่าต้องการเสริมเหล็กรับแรงอัดด้วยหรือไม่</t>
  </si>
  <si>
    <t>Av = 2*Pi*d^2/400 เนื้อที่เหล็กรับแรงเฉือน 2 ขา</t>
  </si>
  <si>
    <t>เนื้อที่หน้าตัดเหล็กรับแรงดึง 1 เส้น</t>
  </si>
  <si>
    <t>เนื้อที่หน้าตัดเหล็กรับแรงอัด 1 เส้น</t>
  </si>
  <si>
    <t>เส้น</t>
  </si>
  <si>
    <t>สมมติให้ Ro = maxRo</t>
  </si>
  <si>
    <t>Ru=Ro*fy*(1-0.5882*Ro*fy/fc')</t>
  </si>
  <si>
    <t>ตรวจสอบพบว่า 1- MR &lt; Mu หรือ 2- MR &gt; Mu</t>
  </si>
  <si>
    <t>สมมติให้ Phi*Mn1 = MR</t>
  </si>
  <si>
    <t>kg.cm</t>
  </si>
  <si>
    <t>As1=Ro*b*d</t>
  </si>
  <si>
    <t>ให้ Ro - Ro' = maxRo</t>
  </si>
  <si>
    <t>ให้ Mu2 = Mu - MR</t>
  </si>
  <si>
    <t>ตรวจสอบเหล็กรับแรงอัดครากหรือไม่</t>
  </si>
  <si>
    <t>min(Ro-Ro')=Beta1*0.85fc'/fy*d'/d*6120/(6120-fy)</t>
  </si>
  <si>
    <t>เหล็กรับแรงอัด 1- คราก, 2- ไม่คราก</t>
  </si>
  <si>
    <t>ถ้าเหล็กรับแรงอัดคราก fs' = fy =</t>
  </si>
  <si>
    <t>ถ้าเหล็กรับแรงอัดไม่คราก, a = As1fy/0.85/fc'/b</t>
  </si>
  <si>
    <t>ระยะ c = a/Beta1</t>
  </si>
  <si>
    <t>fs' = 6120*(1-d'/c)</t>
  </si>
  <si>
    <t xml:space="preserve">หน่วยแรงอัดเหล็กรับแรงอัดที่ใช้จริง, fs' = </t>
  </si>
  <si>
    <t>เนื้อที่หน้าตัดเหล็กรับแรงอัด As' = Mu2/Phi/fs'/(d-d')</t>
  </si>
  <si>
    <t>เนื้อที่หน้าตัดเหล็กรับแรงดึงส่วนเพิ่ม As2 = As'*fs'/fy</t>
  </si>
  <si>
    <t>เนื้อที่หน้าตัดเหล็กรับแรงดึงรวม As = As1+As2</t>
  </si>
  <si>
    <t>จำนวนเส้นของเหล็กรับแรงดึง</t>
  </si>
  <si>
    <t>จำนวนเส้นของเหล็กรับแรงอัด</t>
  </si>
  <si>
    <t>ป้อนจำนวนเส้นของเหล็กรับแรงดึง</t>
  </si>
  <si>
    <t>ป้อนจำนวนชั้นของเหล็กรับแรงดึง</t>
  </si>
  <si>
    <t>ป้อนความลึกประสิทธิผลจริง (ดูบรรทัด 30-33), d</t>
  </si>
  <si>
    <t>เนื้อที่หน้าตัดเหล็กรับแรงดึง, As =</t>
  </si>
  <si>
    <t>ป้อนจำนวนเส้นของเหล็กรับแรงอัด</t>
  </si>
  <si>
    <t>ป้อนจำนวนชั้นของเหล็กรับแรงอัด</t>
  </si>
  <si>
    <t>เนื้อที่หน้าตัดเหล็กรับแรงอัด , As' =</t>
  </si>
  <si>
    <t>ป้อนตำแหน่งของเหล็กรับแรงอัด , d' (ดูบรรทัด 38-41)</t>
  </si>
  <si>
    <t>ตรวจสอบค่าแรงดัดที่รับได้จริง</t>
  </si>
  <si>
    <t>Ro-Ro' = (As-As')/b/d</t>
  </si>
  <si>
    <t>ตรวจสอบพบว่า 1-เหล็กรับแรงอัดคราก, 2- เหล็กรับแรงอัดไม่คราก</t>
  </si>
  <si>
    <t>ถ้าเหล็กแรงอัดคราก , fs' =</t>
  </si>
  <si>
    <t>ถ้าเหล็กรับแรงอัดไม่คราก R =(6120As'-Asfy)/1.7/Beta1/fc'/b</t>
  </si>
  <si>
    <t>ถ้าเหล็กรับแรงอัดไม่คราก Q = 6120*d'*As'/0.85/Beta1/fc'/b</t>
  </si>
  <si>
    <t>c1 = -R + Sqrt(R^2+Q)</t>
  </si>
  <si>
    <t>c2 = -R - Sqrt(R^2+Q)</t>
  </si>
  <si>
    <t>เลือกระยะ c จาก c1 และ c2 ต้องเป็น + เสมอ</t>
  </si>
  <si>
    <t>หน่วยแรงอัดในเหล็กรับแรงอัด fs' = 6120*(1-d'/c)</t>
  </si>
  <si>
    <t>หน่วยแรงอัดในเหล็กรับแรงอัดที่ใช้จริง</t>
  </si>
  <si>
    <t>ตรวจสอบเหล็กรับแรงดึงครากหรือไม่</t>
  </si>
  <si>
    <t>ค่า Ro-Ro'*fs'/fy</t>
  </si>
  <si>
    <t>ตรวจกับ maxRo แล้วพบว่าเหล็กรับแรงดึง 1-คราก, 2- ไม่คราก</t>
  </si>
  <si>
    <t xml:space="preserve">กรณีคราก fs' = fy </t>
  </si>
  <si>
    <t>กรณีคราก a = (As-As')*fy/0.85/fc'/b</t>
  </si>
  <si>
    <t>กรณีไม่คราก a = Beta1*c</t>
  </si>
  <si>
    <t>ป้อนค่า a ที่ถูกต้อง</t>
  </si>
  <si>
    <t>แรงดัด Mn = 0.85fc'ba(d-a/2) + As'fs'(d-d')</t>
  </si>
  <si>
    <t>แรงดัดที่ใช้ได้จริง Phi*Mn</t>
  </si>
  <si>
    <t>ตรวจสอบพบว่า 1- 0.9Mn&gt;Mu ใช้ได้ , 2- 0.9Mn &lt; Mu ใช้ไม่ได้</t>
  </si>
  <si>
    <t>*****</t>
  </si>
  <si>
    <t>ออกแบบเหล็กรับแรงเฉือน</t>
  </si>
  <si>
    <t>ตรวจสอบว่า Sqrt(fc')&lt;= 27, ค่า</t>
  </si>
  <si>
    <t>Phi*Vc=0.85*0.53*Sqrt(fc')*b*d</t>
  </si>
  <si>
    <t>s = 0.85Avfyd/(Vu-0.85Vc)</t>
  </si>
  <si>
    <t>0.85Vs = Vu-0.85Vc</t>
  </si>
  <si>
    <t>Vmax = 2.1*0.85*Sqrt(fc')*b*d</t>
  </si>
  <si>
    <t>Vmid = 1.1*0.85*Sqrt(fc')*b*d</t>
  </si>
  <si>
    <t>กรณี 0.85Vs &lt; Vmid ระยะเรียง s &lt;= 60 cm</t>
  </si>
  <si>
    <t>กรณี 0.85Vs &lt; Vmid ระยะเรียง s &lt;= d/2</t>
  </si>
  <si>
    <t>กรณี Vmid &lt;= 0.85Vs &lt;= Vmax ระยะเรียง s &lt;= d/4</t>
  </si>
  <si>
    <t>กรณี Vmid &lt;= 0.85Vs &lt;= Vmax ระยะเรียง s &lt;= 30 cm</t>
  </si>
  <si>
    <t>B คานลึก</t>
  </si>
  <si>
    <t>ขั้นตอนที่ 1 เตรียมข้อมุล</t>
  </si>
  <si>
    <t>กำลังประลัยของคอนกรีตที่อายุ 28 วัน, fc'</t>
  </si>
  <si>
    <t>กำลังจุดครากของเหล็กเสริม, fy</t>
  </si>
  <si>
    <t>ส.ป.ส. B1 ของ Whitney, = 0.85 ถ้า fc'&lt;= 280 ksc. และ = 0.65 ถ้า fc'&gt;</t>
  </si>
  <si>
    <t>560 ksc. นอกนั้น B1 = 0.85 - 0.05(fc'-280)/70 กรณีนี้มีค่า</t>
  </si>
  <si>
    <t>pb = B1.(0.85fc'/fy)(6120/(6120+fy)) ค่า Ro สมดุล</t>
  </si>
  <si>
    <t>pmax = 0.75pb อัตราส่วนเหล็กต่อคอนกรีตสุงสุดตาม ACI</t>
  </si>
  <si>
    <t>pmin=14/fy อัตราส่วนเหล็กต่อคอนกรีตต่ำสุด</t>
  </si>
  <si>
    <t>ความยาวระหว่างศูนย์กลางเสา, L</t>
  </si>
  <si>
    <t>ขนาดหน้าตัดเสาวัดตามความยาวคาน, c1</t>
  </si>
  <si>
    <t>ความยาวช่วงว่างของคานระหว่างขอบในเสา Ln=L-c1</t>
  </si>
  <si>
    <t>น้ำหนักแบบจุด 1. จุดเดียวตรงกลาง 2. สองจุดแบ่งเท่ากัน 3.ไม่มี</t>
  </si>
  <si>
    <t>ประมาณความกว้างคาน, b</t>
  </si>
  <si>
    <t>ประมาณความลึกคาน, h</t>
  </si>
  <si>
    <t>ประมาณความลึกประสิทธิผลที่ d = 0.95h</t>
  </si>
  <si>
    <t>ป้อนค่าความลึกประสิทิผลที่จะใช้จริง, d</t>
  </si>
  <si>
    <t>ป้อนน้ำหนักบรรทุกประลัยแบบจุด (ไม่มีให้ป้อน 0)</t>
  </si>
  <si>
    <t>น้ำหนักของคาน, wG = 2400bh</t>
  </si>
  <si>
    <t>น้ำหนักบรรทุกประลัยแผ่ไม่รวมน้ำหนักคาน, wu1</t>
  </si>
  <si>
    <t>น้ำหนักประลัยแผ่บนคาน , wu = wu1+1.4wG</t>
  </si>
  <si>
    <t>แรงปฏิกิริยาที่จุดศูนย์กลางเสา</t>
  </si>
  <si>
    <t>ตรวจสอบการเป็นคานลึก</t>
  </si>
  <si>
    <t>กรณีมีจุดเดียวตรงกลาง a = L/2 ระยะ a</t>
  </si>
  <si>
    <t>กรณีมีสองจุดแบ่งเท่ากัน a = L/3 ระยะ a</t>
  </si>
  <si>
    <t>กรณีมีแรงเป็นจุด a/d &lt; 2.5 เป็นคานลึก อัตราส่วน a/d</t>
  </si>
  <si>
    <t>ขั้นตอนที่ 2 หาเหล็กเสริมรับแรงดึงจากแรงดัด</t>
  </si>
  <si>
    <t>กรณีมีแรงจุดเดียว Mu=(wu*L^2)/8+Pu*L/4</t>
  </si>
  <si>
    <t>กรณีมีแรงสองจุด Mu=(wu*L^2)/8+Pu*a</t>
  </si>
  <si>
    <t>กรณีไม่มีแรงเป็นจุด Mu=(wu*L^2)/8</t>
  </si>
  <si>
    <t>กรณีที่เลือกนี้ใช้แรงดัดสูงสุด Mu =</t>
  </si>
  <si>
    <t>ต้องการ p = (0.85fc'/fy)[1-Sqrt(1-2Ru/0.85/fc')]</t>
  </si>
  <si>
    <t>ตรวจสอบ 1.pmin &lt; p &lt; pmax, 2. p&lt;pmin, 3. p&gt;pmax</t>
  </si>
  <si>
    <t>ส.ป.ส. Ru=Mu/(0.85*b*d^2)</t>
  </si>
  <si>
    <t>ผลการตรวจสอบ 1. ออกแบบต่อไป 2. อันตราย! ขยายขนาดคานก่อน</t>
  </si>
  <si>
    <t>อัตราส่วน p ที่ใช้จริงคือ</t>
  </si>
  <si>
    <t>ปริมาณเหล็กเสริมที่ต้องการ As = pbd</t>
  </si>
  <si>
    <t>cm^2</t>
  </si>
  <si>
    <t>เหล็ก DB 28 mm มี As1 = 6.157 cm^2 ใช้เหล็กขนาดนี้</t>
  </si>
  <si>
    <t>เหล็ก DB 25 mm มี As1 = 4.909 cm^2 ใช้เหล็กขนาดนี้</t>
  </si>
  <si>
    <t>เลือกเหล็ก 1.DB 28 mm., 2. DB 25 mm.</t>
  </si>
  <si>
    <t>เลือกจำนวนเส้น</t>
  </si>
  <si>
    <t>เนื้อที่หน้าตัดเหล็กเสริมรับแรงดึงจากแรงดัด As</t>
  </si>
  <si>
    <t>อัตราส่วนเหล็กต่อคอนกรีต pw = As/bd</t>
  </si>
  <si>
    <t>** ควรตรวจสอบระยะ d ที่เกิดจริงว่าใกล้เคียงที่สมมติหรือไม่ **</t>
  </si>
  <si>
    <t>ขั้นตอนที่ 3 หาตำแหน่งหน้าตัดวิกฤตสำหรับแรงเฉือน</t>
  </si>
  <si>
    <t>กรณีมีน้ำหนักจุด x = 0.5a &lt;= d ระยะ x =</t>
  </si>
  <si>
    <t>กรณีไม่มีน้ำหนักจุด x = 0.15Ln &lt;= d</t>
  </si>
  <si>
    <t>กรณีนี้ตำแหน่งหน้าตัดวิกฤคที่คำนวณ x =</t>
  </si>
  <si>
    <t>ความลึกประสิทธิผลที่ใช้จริง d</t>
  </si>
  <si>
    <t>ตำแหน่งหน้าตัดวิกฤตที่ใช้จริง x =</t>
  </si>
  <si>
    <t>หน้าตัดวิกฤตห่างจาดศูนย์กลางเสา, x1 = x + c1/2</t>
  </si>
  <si>
    <t xml:space="preserve">แรงปฏิกิริยาที่ศูนย์กลางเสา , V1 = </t>
  </si>
  <si>
    <t>แรงเฉือนที่หน้าตัดวิกฤต Vu = V1-wu*x1</t>
  </si>
  <si>
    <t>แรงดัดประลัยที่หน้าตัดวิกฤต , Mu = (V1+Vu)*x1/2</t>
  </si>
  <si>
    <t>ขั้นตอนที่ 4 คำนวณค่าเกี่ยวกับแรงเฉือน</t>
  </si>
  <si>
    <t>กำลังรับแรงเฉือนสูงสุด 0.85Vn ขึ้นกับค่า Ln/d</t>
  </si>
  <si>
    <t>ถ้า Ln/d&lt;2 ค่า 0.85Vn = 2.1*0.85Sqrt(fc')*bw*d</t>
  </si>
  <si>
    <t>ถ้า 2&lt;Ln/d&lt;5 ค่า 0.85Vn = 0.18*0.85*(10+Ln/d)*Sqrt(fc')*bw*d</t>
  </si>
  <si>
    <t>กรณีนี้คานรับแรงเฉือนสูงสุดได้ 0.85Vn =</t>
  </si>
  <si>
    <t>กรณีไม่มีแรงเป็นจุด Ln/d &lt; 5 เป็นคานลึก อัตราส่วน Ln/d</t>
  </si>
  <si>
    <t>ตรวจสอบพบ 1. Vu&lt;0.85Vn ใช้ได้, 2.Vu&gt;0.85Vn ใช้ไม่ได้</t>
  </si>
  <si>
    <t>คำนวณกำลังรับแรงเฉือนของคอนกรีต 0.85Vc จากสูตร</t>
  </si>
  <si>
    <t>0.85Vc=0.85(3.5-2.5Mu/Vud)(0.5Sqrt(fc')+176pwVud/Mu)bw*d</t>
  </si>
  <si>
    <t>และ 0.85Vc &lt;= 1.6*0.85*sqrt(fc')*bw*d</t>
  </si>
  <si>
    <t>อัตราส่วน pw = As/bd</t>
  </si>
  <si>
    <t>อัตราส่วน Mu/Vud</t>
  </si>
  <si>
    <t>ค่า pwVud/Mu</t>
  </si>
  <si>
    <t>3.5-2.5Mu/Vud &lt;= 2.5 ค่า 3.5-2.5Mu/Vud ที่คำนวณได้</t>
  </si>
  <si>
    <t>ค่า 3.5-2.5Mu/Vud ที่ใช้จริงคือ</t>
  </si>
  <si>
    <t>แทนค่าสูตรแรก 0.85Vc =</t>
  </si>
  <si>
    <t xml:space="preserve">แทนค่าสูตรที่สอง 0.85Vc = </t>
  </si>
  <si>
    <t>ค่าแรงเฉือนที่คอนกรีตรับได้จริง 0.85Vc =</t>
  </si>
  <si>
    <t>สูตรแรงเฉือนประมาณ 0.85Vc=0.53*0.85*Sqrt(fc')bw*d =</t>
  </si>
  <si>
    <t>ขั้นตอนที่ 5 คำนวณหาเหล็กรับแรงเฉือน</t>
  </si>
  <si>
    <t>แรงเฉือนส่วนเกิน Vu-0.85Vc =</t>
  </si>
  <si>
    <t>สูตรคำนวณ (Av/12s)(1+Ln/d)+(Avh/12s2)(11-Ln/d)=(Vu-0.85Vc)/(0.85fyd)</t>
  </si>
  <si>
    <t>เทอม (1+Ln/d)/12 =</t>
  </si>
  <si>
    <t>เทอม (11-Ln/d)/12 =</t>
  </si>
  <si>
    <t>เทอม (Vu-0.85Vc)/(0.85fyd) =</t>
  </si>
  <si>
    <t>1 = เลือกเหล็กทางขวาง 2-DB 12 mm มี Av = 2.262 cm^2</t>
  </si>
  <si>
    <t>2 = เลือกเหล็กทางขวาง 2-DB 16 mm มี Av = 4.02 cm^2</t>
  </si>
  <si>
    <t>3 = เลือกเหล็กทางขวาง 2-DB 20 mm มี Av = 6.28 cm^2</t>
  </si>
  <si>
    <t>4 = เลือกเหล็กทางขวาง 2-DB 25 mm. มี Av = 9.818 cm^2</t>
  </si>
  <si>
    <t>กรุณาเลือกหมายเลข 1 หรือ 2 หรือ 3 หรือ 4 เท่านั้น</t>
  </si>
  <si>
    <t>เนื้อที่หน้าตัดเหล็กทางขวางรับแรงเฉือน , Av</t>
  </si>
  <si>
    <t>ระยะเรียงเหล็กทางขวาง s &lt;= Av/0.0015/bw =</t>
  </si>
  <si>
    <t>ระยะเรียงเหล็กทางขวาง s &lt;= d/5 =</t>
  </si>
  <si>
    <t>ระยะเรียงเหล็กทางขวาง s &lt;= 45 cm</t>
  </si>
  <si>
    <t>ป้อนระยะเรียงเหล็กทางขวาง</t>
  </si>
  <si>
    <t>แทนค่า Av และ s ในสมการที่ 1 ได้ค่า Avh/s2 =</t>
  </si>
  <si>
    <t>1 = เลือกเหล็กทางนอน 2-DB 12 mm มี Avh = 2.262 cm^2</t>
  </si>
  <si>
    <t>2 = เลือกเหล็กทางนอน 2-DB 16 mm มี Avh = 4.02 cm^2</t>
  </si>
  <si>
    <t>3 = เลือกเหล็กทางนอน 2-DB 20 mm มี Avh = 6.28 cm^2</t>
  </si>
  <si>
    <t>4 = เลือกเหล็กทางนอน 2-DB 25 mm. มี Avh = 9.818 cm^2</t>
  </si>
  <si>
    <t>เนื้อที่หน้าตัดเหล็กทางนอนรับแรงเฉือน, Avh</t>
  </si>
  <si>
    <t>ระยะเรียงเหล็กทางนอนจากสูตร s2 =</t>
  </si>
  <si>
    <t>ระยะเรียงเหล็กทางนอน s2 &lt;= 45 cm</t>
  </si>
  <si>
    <t>ระยะเรียงเหล็กทางนอน s2 &lt;= d/3 =</t>
  </si>
  <si>
    <t>ระยะเรียงเหล็กทางนอน s2 &lt;= Avh/0.0025/bw =</t>
  </si>
  <si>
    <t>โปรดเลือกระยะเรียงของเหล็กทางนอน s2</t>
  </si>
  <si>
    <t>ขั้นตอนที่ 6 เขียนรายละเอียดการเสริมเหล็ก</t>
  </si>
  <si>
    <t>B เสาสั้นปลอกเดี่ยวรับน้ำหนักเยื้องศูนย์แกนเดียว</t>
  </si>
  <si>
    <t>กำลังครากของเหล็กยืน, fy</t>
  </si>
  <si>
    <t>แรงอัดประลัย, Pu</t>
  </si>
  <si>
    <t>แรงดัดประลัยรอบแกนหลัก, Mu (ถ้าไม่ทราบระยะ e)</t>
  </si>
  <si>
    <t>ระยะเยื้องศูนย์ e (ทราบ e ไม่ทราบ Mu)</t>
  </si>
  <si>
    <t>แรงดัดประลัยในการออกแบบ Mu</t>
  </si>
  <si>
    <t>ระยะเยื้องศูนย์ e ในการออกแบบ</t>
  </si>
  <si>
    <t>แรงอัดประลัยทางทฤษฎี, Pn=Pu/phi=Pu/0.7</t>
  </si>
  <si>
    <t>แรงดัดประลัยทางทฤษฎี, Mn = Mu/phi=Mu/0.7</t>
  </si>
  <si>
    <t>ประมาณความกว้างของหน้าตัดเสา, b</t>
  </si>
  <si>
    <t>ประมาณความลึกของหน้าตัดเสา, h</t>
  </si>
  <si>
    <t>B1=0.85, 0.85-0.05(fc'-280)/70, 0.65</t>
  </si>
  <si>
    <t>ป้อนข้อมูลที่จะออกแบบ</t>
  </si>
  <si>
    <t>ประมาณ d' = 3.5 + 1.0 + 2.5 + 2.5/2</t>
  </si>
  <si>
    <t>ประมาณ d = h - d'</t>
  </si>
  <si>
    <t>ป้อนค่า d' ที่จะใช้จริง</t>
  </si>
  <si>
    <t>ค่า d = h - d' ที่จะใช้จริง</t>
  </si>
  <si>
    <t>เนื้อที่หน้าตัดเสา , Ag = bh</t>
  </si>
  <si>
    <t>ประมาณค่าของระยะแกนสะเทิน c = a/B1 =h/4B1</t>
  </si>
  <si>
    <t>ประมาณค่าของ c โดยการป้อนค่า (จะมีการย้อนมาป้อนใหม่)</t>
  </si>
  <si>
    <t>หน่วยแรงในเหล็กรับแรงดึง, fs=6120(d/c-1)</t>
  </si>
  <si>
    <t>หน่วยแรงในเหล็กรับแรงอัด, fs'=6120(1-d'/c)</t>
  </si>
  <si>
    <t>หน่วยแรงเหล้กรับแรงดึงที่จะใช้จริง, fs</t>
  </si>
  <si>
    <t>หน่วยแรงในเหล็กรับแรงอัดที่จะใช้จริง, fs'</t>
  </si>
  <si>
    <t>ระยะเยื้องศูนย์จากเหล็กรับแรงดึง, e' = e+ d - h/2</t>
  </si>
  <si>
    <t>สูตร Mn'=Pn.e'=0.85fc'.B1.b.c.(d-b1.c/2)+As'fs'(d-d')</t>
  </si>
  <si>
    <t>As'=As=Ast/2=(Pn.e'-0.85fc'.b.B1.c(d-B1.c/2)/fs'(d-d')</t>
  </si>
  <si>
    <t>คำนวณค่า c=(Pn-As'fs'+Asfs)/0.85fc'bB1</t>
  </si>
  <si>
    <t>ผลต่างของ c ใหม่ - c ที่ประมาณ</t>
  </si>
  <si>
    <t xml:space="preserve">ผลต่างของ c น้อยกว่า 0.001 จึงจะใช้ได้ กลับไปป้อน c </t>
  </si>
  <si>
    <t>ตรวจสอบ 1=&gt; ใช้ได้, 2 =&gt; ยังใช้ไม่ได้</t>
  </si>
  <si>
    <t>เหล็ก DB 25 mm ด้านละ</t>
  </si>
  <si>
    <t>อัตราส่วน pst=Ast/Ag (0.01-0.08)</t>
  </si>
  <si>
    <t>เหล็ก DB 12 mm ด้านละ</t>
  </si>
  <si>
    <t>เหล็ก DB 16 mm ด้านละ</t>
  </si>
  <si>
    <t>เหล็ก DB 20 mm ด้านละ</t>
  </si>
  <si>
    <t>เหล็ก DB 28 mm ด้านละ</t>
  </si>
  <si>
    <t>เลือกขนาดเหล็กยืนกี่มิลลิเมตร</t>
  </si>
  <si>
    <t>เลือกขนาดเหล็กปลอกกี่มิลลิเมตร</t>
  </si>
  <si>
    <t>ระยะเรียงไม่เกิน 16 เท่าเหล็กยืน</t>
  </si>
  <si>
    <t>ระยะเรียงไม่เกิน 48 เท่าเหล็กปลอก</t>
  </si>
  <si>
    <t>ระยะเรียงไม่เกินด้านแคบของหน้าตัดเสา</t>
  </si>
  <si>
    <t>ระยะเรียงไม่เกิน 45 cm</t>
  </si>
  <si>
    <t>กรณีที่ 1 ช่วงพื้นภายใน</t>
  </si>
  <si>
    <t>แรงดัดลบ - ที่ด้านซึ่งต่อเนื่อง</t>
  </si>
  <si>
    <t xml:space="preserve">              - ที่ด้านซึ่งไม่ต่อเนื่องกัน</t>
  </si>
  <si>
    <t>แรงดัดบวกที่กึ่งกลางช่วง</t>
  </si>
  <si>
    <t>-</t>
  </si>
  <si>
    <t>ต่ำกว่า</t>
  </si>
  <si>
    <t>และ</t>
  </si>
  <si>
    <t>ทุกค่า</t>
  </si>
  <si>
    <t>สำหรับ</t>
  </si>
  <si>
    <t>ยาว</t>
  </si>
  <si>
    <t>ช่วง</t>
  </si>
  <si>
    <t>แรงดัดที่ตำแหน่งต่างๆ</t>
  </si>
  <si>
    <t>กรณีที่ 2 ไม่ต่อเนื่องกันด้านเดียว</t>
  </si>
  <si>
    <t>กรณีที่ 3 ไม่ต่อเนื่องกันสามด้าน</t>
  </si>
  <si>
    <t>กรณีที่ 4 ไม่ต่อเนื่องกันสามด้าน</t>
  </si>
  <si>
    <t>กรณีที่ 5 ไม่ต่อเนื่องกันทั้งสี่ด้าน</t>
  </si>
  <si>
    <t>B  โปรแกรมออกแบบคาน</t>
  </si>
  <si>
    <t>กำลังครากของเหล็กเสริม, fy</t>
  </si>
  <si>
    <t>Beta1=0.85 ถ้า fc'&lt;=280 ksc, =0.85-0.05(fc'-280)/70&gt;=0.65</t>
  </si>
  <si>
    <t>pb=Beta1*0.85fc'/fy*6120/(6120+fy)</t>
  </si>
  <si>
    <t>pmax = 0.75pb</t>
  </si>
  <si>
    <t>ความยาวขอบสั้นของพื้นวัดที่ศูนย์กลางคาน, S</t>
  </si>
  <si>
    <t>ความยาวขอบยาวของพื้นวัดที่ศูนย์กลางคาน, L</t>
  </si>
  <si>
    <t>ความกว้างของคาน, bw</t>
  </si>
  <si>
    <t>น้ำหนักบรรทุกคงที่เพิ่มเติม (SDL : Superinposed dead load)</t>
  </si>
  <si>
    <t>kg/m^2</t>
  </si>
  <si>
    <t>น้ำหนักบรรทุกจร LL</t>
  </si>
  <si>
    <t>ขั้นตอนที่ 2 ป้อนข้อมูลที่กำหนดให้</t>
  </si>
  <si>
    <t>ขั้นตอนที่ 3 ประมาณความหนาของพื้น h</t>
  </si>
  <si>
    <t>h &gt;= (2S+2L)/180 = (S+L)/90</t>
  </si>
  <si>
    <t>ป้อนความหนาของแผ่นพื้นที่คาดว่าจะใช้</t>
  </si>
  <si>
    <t>ขั้นตอนที่ 4 หาสัมประสิทธิ์แรงดัด</t>
  </si>
  <si>
    <t>ระยะ S ระหว่างศูนย์กลางคาน</t>
  </si>
  <si>
    <t>ระยะ S = ช่องว่างบวก 2 เท่าความหนาพื้น</t>
  </si>
  <si>
    <t>ระยะด้านสั้นที่ใช้จริง เลือกจากค่าน้อยของสองค่า, S</t>
  </si>
  <si>
    <t>ระยะ L รหว่างศูนย์กลางคาน</t>
  </si>
  <si>
    <t>ระยะ L = ช่องว่างบวก 2 เท่าความหนาพื้น</t>
  </si>
  <si>
    <t>ระยะด้านยาวที่ใช้จริง เลือกจากค่าน้อยของสองค่า, L</t>
  </si>
  <si>
    <t>อัตราส่วน m = S/L</t>
  </si>
  <si>
    <t xml:space="preserve">ค่าสัมประสิทธิ์แรงดัดให้ดูตารางใน C-table โดยด้านสั้นดูตามค่า m </t>
  </si>
  <si>
    <t>และลักษณะความต่อเนื่อง ส่วนด้านยาวดูช่องขวาสุดตามลักษณะความ</t>
  </si>
  <si>
    <t>ต่อเนื่อง</t>
  </si>
  <si>
    <t>สัมประสิทธิ์แรงดัดลบด้านสั้นที่ขอบ 1, C1</t>
  </si>
  <si>
    <t>สัมประสิทธิ์แรงดัดบวกด้านสั้นที่กลางพื้น 2, C2</t>
  </si>
  <si>
    <t>สัมประสิทธิ์แรงดัดลบด้านสั้นที่ขอบ 2, C3</t>
  </si>
  <si>
    <t>สัมประสิทธิ์แรงดัดสูงสุดของด้านสั้น CS</t>
  </si>
  <si>
    <t>สัมประสิทธิ์แรงดัดลบด้านยาวที่ขอบ 4, C4</t>
  </si>
  <si>
    <t>สัมประสิทธิ์แรงดัดบวกด้านยาวที่กลางพื้น 5, C5</t>
  </si>
  <si>
    <t>สัมประสิทธิ์แรงดัดลบด้านยาวที่ขอบ 6, C6</t>
  </si>
  <si>
    <t>สัมประสิทธิแรงดัดสูงสุดของทางด้านยาว, CL</t>
  </si>
  <si>
    <t>ขั้นตอนที่ 5 หาน้ำหนักบรรทุก แล้วหาแรงดัดที่ตำแหน่งต่างๆ</t>
  </si>
  <si>
    <t>น้ำหนักพื้น wG = 2400h</t>
  </si>
  <si>
    <t>น้ำหนักบรรทุกเพิ่มค่า wu=kD(wG+SDL)+kL(LL)</t>
  </si>
  <si>
    <t>ตัวคูณสำหรับน้ำหนักบรรุกคงที่ ,ACI ใช้ 1.4 กฎกระทรวงฯ 1.7, kD</t>
  </si>
  <si>
    <t>ตัวคูณสำหรับน้ำหนักบรรทุกจร, ACI ใช้ 1.7 กฎกระทรวงฯ 2.0, kL</t>
  </si>
  <si>
    <t>M1=C1wuS^2 = แรงดัดที่ขอบ 1 ด้านสั้น</t>
  </si>
  <si>
    <t>M2=C2wuS^2 = แรงดัดที่กลางพื้น 2 ด้านสั้น</t>
  </si>
  <si>
    <t>M3=C3wuS^2 = แรงดัดที่ขอบ 3 ด้านสั้น</t>
  </si>
  <si>
    <t>M4=C4wuS^2 = แรงดัดที่ขอบ 4 ด้านยาว</t>
  </si>
  <si>
    <t>M5=C5wuS^2 = แรงดัดที่กลางพื้นด้านยาว</t>
  </si>
  <si>
    <t>M6=C6wuS^2 = แรงดัดที่ขอบ 6 ด้านยาว</t>
  </si>
  <si>
    <t>ML=CLwuS^2 = แรงดัดสูงสุดของด้านยาว</t>
  </si>
  <si>
    <t>ขั้นตอนที่ 6 ตรวจสอบความหนาของแผ่นพื้นว่าพอหรือไม่</t>
  </si>
  <si>
    <t>ความหนาประสิทธิผลด้านสั้น ds=h-c-db/2</t>
  </si>
  <si>
    <t>ป้อนขนาดเหล็กที่จะใช้ 6, 9, 12, 15, 16 ,  db</t>
  </si>
  <si>
    <t>ป้อนระยะหุ้มของคอนกรีต ไม่ควรน้อยกว่า 2 cm,   c</t>
  </si>
  <si>
    <t>ความหนาประสิทธิผลด้านยาว dL=h-c-db-db/2</t>
  </si>
  <si>
    <t>สมมติใช้ p = pmax</t>
  </si>
  <si>
    <t>MS=CSwuS^2 = แรงดัดสูงสุดด้านสั้น</t>
  </si>
  <si>
    <t>Ru=pfy(1-0.59pfy/fc')</t>
  </si>
  <si>
    <t>Mcs=0.9Rubds^2</t>
  </si>
  <si>
    <t>McL=0.9RubdL^2</t>
  </si>
  <si>
    <t>ตรวจสอบ 1 =&gt; Mcs&gt;MS ใช้ได้, 2 =&gt; Mcs&lt;MS ใช้ไม่ได้</t>
  </si>
  <si>
    <t>ตรวจสอบ 1 =&gt; McL&gt;ML ใช้ได้, 2 =&gt; McL&lt;ML ใช้ไม่ได้</t>
  </si>
  <si>
    <t>หากผลการตรวจสอบเป็น 2 ให้เพิ่มความหนาของพื้นขึ้นอีก D17</t>
  </si>
  <si>
    <t>ขั้นตอนที่ 7 หาปริมาณเหล็กเสริมที่ต้องการ/ความกว้าง 1 เมตร</t>
  </si>
  <si>
    <t>Ass1=pbd</t>
  </si>
  <si>
    <t>M1: Ru=M1/0.9/b/ds^2</t>
  </si>
  <si>
    <t>cm^2/m</t>
  </si>
  <si>
    <t>M2: Ru=M2/0.9/b/ds^2</t>
  </si>
  <si>
    <t>Ass2=pbd</t>
  </si>
  <si>
    <t>M3: Ru=M3/0.9/b/ds^2</t>
  </si>
  <si>
    <t>Ass3=pbd</t>
  </si>
  <si>
    <t>MS: Ru=MS/0.9/b/ds^2</t>
  </si>
  <si>
    <t>p=(0.85fc'/fy)[1-Sqrt(1-2Ru/0.85fc'))</t>
  </si>
  <si>
    <t>M4: Ru=M4/0.9/b/dL^2</t>
  </si>
  <si>
    <t>AssS=pbd</t>
  </si>
  <si>
    <t>AsL4=pbd</t>
  </si>
  <si>
    <t>M5: Ru=M5/0.9/b/dL^2</t>
  </si>
  <si>
    <t>AsL5=pbd</t>
  </si>
  <si>
    <t>M6: Ru=M6/0.9/b/dL^2</t>
  </si>
  <si>
    <t>AsL6=pbd</t>
  </si>
  <si>
    <t>ML: Ru=ML/0.9/b/dL^2</t>
  </si>
  <si>
    <t>AsLL=pbd</t>
  </si>
  <si>
    <t>เหล็ก 1 เส้นมีเนื้อที่หน้าตัด , As1</t>
  </si>
  <si>
    <t>ด้านสั้น s1 = As1/Ass1</t>
  </si>
  <si>
    <t>ด้านสั้น s2 = As1/Ass2</t>
  </si>
  <si>
    <t>ด้านสั้น s3 = As1/Ass3</t>
  </si>
  <si>
    <t>ด้านสั้น ss = As1/AssS</t>
  </si>
  <si>
    <t>ด้านยาว s4 = As1/AsL4</t>
  </si>
  <si>
    <t>ด้านยาว s5 = As1/AsL5</t>
  </si>
  <si>
    <t>ด้านยาว s6 = As1/AsL6</t>
  </si>
  <si>
    <t>ด้านยาว sL = As1/AsLL</t>
  </si>
  <si>
    <t>ขั้นตอนที่ 8 ตรวจสอบกำลังรับแรงเฉือนของคอนกรีต</t>
  </si>
  <si>
    <t>Vu = 1.15wuS/4</t>
  </si>
  <si>
    <t>ตรวจพบว่า 1 =&gt; Vu&lt;0.85Vc ใช้ได้, 2=&gt; Vu&gt;0.85Vc ใช้ไม่ได้</t>
  </si>
  <si>
    <t>0.85Vc = 0.53*0.85Sqrt(fc')bdL</t>
  </si>
  <si>
    <t>ขั้นตอนที่ 9 เขียนรายละเอียด</t>
  </si>
  <si>
    <t>ตำแหน่งเสริมพิเศษริมนอกด้านสั้นจากขอบคาน = Sn/4</t>
  </si>
  <si>
    <t>ตำแหน่งงอคอม้าริมนอกด้านสั้นจากขอบคาน =Sn/7</t>
  </si>
  <si>
    <t>ตำแหน่งงอคอม้าริมในด้านสั้นจากขอบคาน = Sn/4</t>
  </si>
  <si>
    <t>ตำแหน่งเสริมพิเศษริมในด้านสั้นจากขอบคาน =Sn/3</t>
  </si>
  <si>
    <t>ตำแหน่งงอคอม้าริมนอกด้านยาวจากขอบคาน = Ln/7</t>
  </si>
  <si>
    <t>ตำแหน่งเสริมพิเศษริมนอกด้านยาวจากขอบคาน = Ln/4</t>
  </si>
  <si>
    <t>ตำแหน่งงอคอม้าริมในด้านยาวจากขอบคาน = Ln/4</t>
  </si>
  <si>
    <t>ตำแหน่งเสริมพิเศษริมในด้านยาวจากขอบคาน = Ln/3</t>
  </si>
  <si>
    <t>B โปรแกรมออกแบบฐานรากบนดินแน่น</t>
  </si>
  <si>
    <t>ขั้นตอนที่ 1 เตรียมข้อมูล</t>
  </si>
  <si>
    <t>B1=0.85 เมื่อ fc'&lt;=280 , B1=0.85-0.05(fc'-280)/70 &gt;= 0.65</t>
  </si>
  <si>
    <t>pb=B1(0.85fc'/fy)6120/(6120+fy)</t>
  </si>
  <si>
    <t>pmin = 14/fy</t>
  </si>
  <si>
    <t>น้ำหนักบรรทุกคงที่ลงตอม่อ, DL</t>
  </si>
  <si>
    <t>น้ำหนักบรรทุกจรลงตอม่อ, LL</t>
  </si>
  <si>
    <t>กำลังต้านทานที่ยอมให้ของดิน, qa</t>
  </si>
  <si>
    <r>
      <t xml:space="preserve">B </t>
    </r>
    <r>
      <rPr>
        <b/>
        <sz val="16"/>
        <rFont val="Angsana New"/>
        <family val="1"/>
      </rPr>
      <t>โปรแกรมออกแบบแผ่นพื้นสองทาง</t>
    </r>
  </si>
  <si>
    <t>ปุ่ม</t>
  </si>
  <si>
    <t>ก</t>
  </si>
  <si>
    <t>ข</t>
  </si>
  <si>
    <t>ข ขวด</t>
  </si>
  <si>
    <t>ค</t>
  </si>
  <si>
    <t>ค คน</t>
  </si>
  <si>
    <t>ฆ</t>
  </si>
  <si>
    <t>ง</t>
  </si>
  <si>
    <t>จ</t>
  </si>
  <si>
    <t>ฉ</t>
  </si>
  <si>
    <t>ช</t>
  </si>
  <si>
    <t>ซ</t>
  </si>
  <si>
    <t>ฌ</t>
  </si>
  <si>
    <t>ญ</t>
  </si>
  <si>
    <t>ฎ</t>
  </si>
  <si>
    <t>ฏ</t>
  </si>
  <si>
    <t>ฐ</t>
  </si>
  <si>
    <t>ฑ</t>
  </si>
  <si>
    <t>ฒ</t>
  </si>
  <si>
    <t>ณ</t>
  </si>
  <si>
    <t>ด</t>
  </si>
  <si>
    <t>ต</t>
  </si>
  <si>
    <t>ถ</t>
  </si>
  <si>
    <t>ท</t>
  </si>
  <si>
    <t>ธ</t>
  </si>
  <si>
    <t>น</t>
  </si>
  <si>
    <t>บ</t>
  </si>
  <si>
    <t>ป</t>
  </si>
  <si>
    <t>ผ</t>
  </si>
  <si>
    <t>ฝ</t>
  </si>
  <si>
    <t>พ</t>
  </si>
  <si>
    <t>ฟ</t>
  </si>
  <si>
    <t>ภ</t>
  </si>
  <si>
    <t>ม</t>
  </si>
  <si>
    <t>ย</t>
  </si>
  <si>
    <t>ร</t>
  </si>
  <si>
    <t>ฤ</t>
  </si>
  <si>
    <t>ล</t>
  </si>
  <si>
    <t>ฦ</t>
  </si>
  <si>
    <t>ว</t>
  </si>
  <si>
    <t>ศ</t>
  </si>
  <si>
    <t>ษ</t>
  </si>
  <si>
    <t>ส</t>
  </si>
  <si>
    <t>ห</t>
  </si>
  <si>
    <t>ฬ</t>
  </si>
  <si>
    <t>อ</t>
  </si>
  <si>
    <t>ฮ</t>
  </si>
  <si>
    <t>ฯ</t>
  </si>
  <si>
    <t>฿</t>
  </si>
  <si>
    <t>ๆ</t>
  </si>
  <si>
    <t>เ</t>
  </si>
  <si>
    <t>แ</t>
  </si>
  <si>
    <t>ไ</t>
  </si>
  <si>
    <t>ใ</t>
  </si>
  <si>
    <t>โ</t>
  </si>
  <si>
    <t>กะ</t>
  </si>
  <si>
    <t>กา</t>
  </si>
  <si>
    <t>กำ</t>
  </si>
  <si>
    <t>กั</t>
  </si>
  <si>
    <t>กิ</t>
  </si>
  <si>
    <t>กี</t>
  </si>
  <si>
    <t>กึ</t>
  </si>
  <si>
    <t>กื</t>
  </si>
  <si>
    <t>กุ</t>
  </si>
  <si>
    <t>กู</t>
  </si>
  <si>
    <t>ก็</t>
  </si>
  <si>
    <t>ก่</t>
  </si>
  <si>
    <t>ก้</t>
  </si>
  <si>
    <t>ก๊</t>
  </si>
  <si>
    <t>ก๋</t>
  </si>
  <si>
    <t>ก์</t>
  </si>
  <si>
    <t>กำลังต้านทานประลัยของดิน อย่างน้อย 2 เท่าของ qa</t>
  </si>
  <si>
    <t>ขนาดแนวนอนของหน้าตัดตอม่อ, a</t>
  </si>
  <si>
    <t>ขนาดด้านตั้งของหน้าตัดตอม่อ, b</t>
  </si>
  <si>
    <t>ขั้นตอนที่ 2 ประมาณขนาดฐานราก</t>
  </si>
  <si>
    <t>เนื้อที่ฐานราก Areq = 1.2(DL+LL)/qa</t>
  </si>
  <si>
    <t>m^2</t>
  </si>
  <si>
    <t>เผื่อน้ำหนักฐานราก ตอม่อ ดินถม 20 % ,น้ำหนักที่เผื่อแล้ว</t>
  </si>
  <si>
    <t>ถ้าฐานรากเป็นสี่เหลี่ยมจัตุรัสจะยาวด้านละ L = B =Sqrt(Areq)</t>
  </si>
  <si>
    <t>ความลึกท้องฐานรากม, H</t>
  </si>
  <si>
    <t>ขนาดฐานราก B ทางแนวตั้งเมื่อมองแปลนฐานรากอย่างน้อย</t>
  </si>
  <si>
    <t>ป้อนขนาดฐานราก L ทางแนวนอนเมื่อมองแปลนฐานราก</t>
  </si>
  <si>
    <t>ป้อนขนาดฐานราก B ทางแนวตั้งเมื่อมองแปลนฐานราก</t>
  </si>
  <si>
    <t>ตัวคูณเพิ่มค่าของน้ำหนักบรรทุกคงที่ 1.4 หรือ 1.7,  kd</t>
  </si>
  <si>
    <t>ตัวคูณเพิ่มค่าของน้ำหนักบรรทุกจร 1.7 หรือ 2.0,  kl</t>
  </si>
  <si>
    <t>หน่วยแรงดันขึ้นสุทธิ , q =(kd.DL+kl.LL)/BL</t>
  </si>
  <si>
    <t>ขั้นตอนที่ 3 คำนวณแรงเฉือนและแรงดัดที่ขอบตอม่อ</t>
  </si>
  <si>
    <t>แรงเฉือน V4 = qB(L-a)/2</t>
  </si>
  <si>
    <t>แรงดัด M4 = V4*((L-a)/4)</t>
  </si>
  <si>
    <t>แรงเฉือน V5 = qL(B-b)/2</t>
  </si>
  <si>
    <t>แรงดัด M5 = V5*((B-b)/4)</t>
  </si>
  <si>
    <t>ให้ p = pmin</t>
  </si>
  <si>
    <t>d41 = Sqrt(M4/0.9/Ru1/B)</t>
  </si>
  <si>
    <t>d51 = Sqrt(M5/0.9/Ru1/L)</t>
  </si>
  <si>
    <t>ให้ p = pmax</t>
  </si>
  <si>
    <t>Ru2 = p.fy.(1-0.59p.fy/fc')</t>
  </si>
  <si>
    <t>Ru1=p.fy.(1-0.59p.fy/fc')</t>
  </si>
  <si>
    <t>d42 = Sqrt(M4/0.9/Ru2/B)</t>
  </si>
  <si>
    <t>d52 = Sqrt(M5/0.9/Ru2/L)</t>
  </si>
  <si>
    <t>ระยะหุ้มทั่วไป 7.50 cm แต่ถ้ากัดกร่อนมาก 10 cm ใช้เท่าใด</t>
  </si>
  <si>
    <t xml:space="preserve">ประมาณขนาดเหล็กเสริม 9, 10, 12, 15, 16, 19, 20, 25, 28 </t>
  </si>
  <si>
    <t xml:space="preserve">ระยะหุ้มรวมกับขนาดเหล็ก </t>
  </si>
  <si>
    <t>ประมาณความลึกประสิทธิผล d (ควรให้รวมระยะหุ้มและเหล็กลงตัว)</t>
  </si>
  <si>
    <t>ความหนาฐานราก Hf</t>
  </si>
  <si>
    <t>kg/m^3</t>
  </si>
  <si>
    <t>ขั้นตอนที่ 4 ตรวจสอบแรงเฉือนแบบเจาะทะลุ</t>
  </si>
  <si>
    <t>แรงเฉือนเจาะทะลุ Vp = q[BL-(a+d)(b+d)]</t>
  </si>
  <si>
    <t>เส้นรอบรูป bo=2(a+b+2d)</t>
  </si>
  <si>
    <t>Bc = ด้านยาวตอม่อ/ด้านสั้นตอม่อ เช่น b/a</t>
  </si>
  <si>
    <t>Alpha-s -&gt; as มีค่า 40 ถ้าตอม่ออยู่กลาง 30 อยู่ริม 20 อยู่มุม ค่าเท่าไร</t>
  </si>
  <si>
    <t>ถ้า Bc &gt; 2, Vc = 0.29(2+4/Bc)Sqrt(fc')bo.d</t>
  </si>
  <si>
    <t>ถ้า Bc &lt;= 2 , Vc =0.27(as.d/bo+2)Sqrt(fc')bo.d</t>
  </si>
  <si>
    <t>แรงเฉือนที่คอนกรีตรับได้จริง, 0.85Vc</t>
  </si>
  <si>
    <t>ตรวจสอบ 1 =&gt; Vp&lt;0.85Vc ใช้ได้, 2 =&gt; Vp &gt; 0.85Vc</t>
  </si>
  <si>
    <t>ถ้าผลการตรวจสอบเป็น 1 ให้ทำขั้นต่อไป เป็น 2 ย้อนไปเพิ่ม d, B, L</t>
  </si>
  <si>
    <t>ขั้นตอนที่ 5 ตรวจสอบแรงเฉือนแบบคาน</t>
  </si>
  <si>
    <t>Vb2 = qB(L/2-a/2-d)</t>
  </si>
  <si>
    <t>Vb3 = qL(B/2-b/2-d)</t>
  </si>
  <si>
    <t>0.85Vc2 = 0.85*0.53Sqrt(fc')Bd</t>
  </si>
  <si>
    <t>0.85Vc3 = 0.85*0.53Sqrt(fc')Ld</t>
  </si>
  <si>
    <t>ตรวจสอบ 1 =&gt; Vb2&lt;0.85Vc2 ใช้ได้, 2 =&gt; Vb2&gt;0.85Vc2 ใช้ไม่ได้</t>
  </si>
  <si>
    <t>ตรวจสอบ 1 =&gt; Vb3&lt;0.85Vc3 ใช้ได้, 2 =&gt; Vb3&gt;0.85Vc3 ใช้ไม่ได้</t>
  </si>
  <si>
    <t>ขั้นตอนที่ 6 ตรวจสอบแรงต้านเฉลี่ยของดิน</t>
  </si>
  <si>
    <t>น้ำหนักฐานราก Wf = 2400B.L.Hf</t>
  </si>
  <si>
    <t>น้ำหนักตอม่อ Wp = 2400a.b.(H-Hf)</t>
  </si>
  <si>
    <t>หน่วยน้ำหนักของดิน (ประมาณ 1690 kg/m^3) ,rs</t>
  </si>
  <si>
    <t>น้ำหนักดินถม Wb = rs.(B.L-a.b)(H-Hf)</t>
  </si>
  <si>
    <t>น้ำหนักรวม Wt = P + Wf + Wp + Wb</t>
  </si>
  <si>
    <t>น้ำหนักลงตอม่อ P = DL + LL</t>
  </si>
  <si>
    <t>แรงต้านเฉลี่ยของดินจริง q1 = Wt/BL</t>
  </si>
  <si>
    <t>ตรวจสอบ 1 =&gt; q1&lt;qa ใช้ได้ , 2 =&gt; q1&gt;qa ใช้ไม่ได้</t>
  </si>
  <si>
    <t>ถ้าผลตรวจสอบ 1 ทำขั้นตอนต่อไป 2 กลับไปเพิ่ม B และ L</t>
  </si>
  <si>
    <t>ขั้นตอนที่ 7 หาปริมาณเหล็กเสริม</t>
  </si>
  <si>
    <t>Ru4 = M4/0.9Bd^2</t>
  </si>
  <si>
    <t>p=(0.85fc'/fy)[1-Sqrt(1-2Ru4/0.85fc')]</t>
  </si>
  <si>
    <t>ถ้า p &lt; pmin ควรใช้ pmin ในที่นี้ใช้ p</t>
  </si>
  <si>
    <t>เหล็กขนานแนวนอนของแปลน As4 =pBd</t>
  </si>
  <si>
    <t>เหล็กที่เลือกไว้มีเนื้อที่เส้นละ</t>
  </si>
  <si>
    <t>เล็กขนานแนวนอนมี</t>
  </si>
  <si>
    <t>Ru5 = M5/0.9Ld^2</t>
  </si>
  <si>
    <t>p=(0.85fc'/fy)[1-Sqrt(1-2Ru5/0.85fc')]</t>
  </si>
  <si>
    <t>เหล็กขนานแนวนอนของแปลน As5 =pLd</t>
  </si>
  <si>
    <t>ระยะฝังพื้นฐานจริง ldb = L/2-a/2-ระยะหุ้ม</t>
  </si>
  <si>
    <t>ระยะฝังพื้นฐานจริง ldb = B/2-b/2-ระยะหุ้ม</t>
  </si>
  <si>
    <t>ระยะฝังพื้นฐานที่ต้องการ ldb = 0.06Ab.fy/Sqrt(fc')</t>
  </si>
  <si>
    <t>ขั้นตอนที่ 8 เขียนรายละเอียดฐานราก</t>
  </si>
  <si>
    <t>Ru=Mu/0.9bd^2</t>
  </si>
  <si>
    <t>Ro=(0.85fc'/fy)[1-Sqrt(1-2Ru/0.85fc')]</t>
  </si>
  <si>
    <t>ตัวคูณเพิ่มค่าน้ำหนักคงที่ kd = 1.4 ว.ส.ท. = 1.7 กฎกระทรวงฯ ป้อนค่า kd</t>
  </si>
  <si>
    <t>ตัวตูณเพิ่มค่าน้ำหนักจร kl  = 1.7 ว.ส.ท. = 2.0 กฎกระทรวงฯ ป้อนค่า kl</t>
  </si>
  <si>
    <t>น้ำหนักเพิ่มค่า wu = kd*(wG+wD) + kl.wL</t>
  </si>
  <si>
    <t>กรณี 1 - MR &lt; Mu</t>
  </si>
  <si>
    <t>กรณี 2 - MR &gt; Mu มีเฉพาะเหล็กรับแรงดึง</t>
  </si>
  <si>
    <t>MR =0.9* Ru*b*d^2</t>
  </si>
  <si>
    <t>เลือกระยะเรียงน้อยที่สุด แนะนำไม่เกิน 0.15 m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</si>
</sst>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"/>
    <numFmt numFmtId="201" formatCode="0.000"/>
    <numFmt numFmtId="202" formatCode="0.00000000"/>
    <numFmt numFmtId="203" formatCode="0.0000000"/>
    <numFmt numFmtId="204" formatCode="0.000000"/>
    <numFmt numFmtId="205" formatCode="0.00000"/>
  </numFmts>
  <fonts count="49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i/>
      <sz val="14"/>
      <name val="Angsana New"/>
      <family val="1"/>
    </font>
    <font>
      <sz val="8"/>
      <name val="Arial"/>
      <family val="0"/>
    </font>
    <font>
      <i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1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201" fontId="7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99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20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201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201" fontId="1" fillId="0" borderId="10" xfId="0" applyNumberFormat="1" applyFont="1" applyBorder="1" applyAlignment="1">
      <alignment/>
    </xf>
    <xf numFmtId="201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0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01" fontId="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02" fontId="48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199" fontId="48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9525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381000"/>
          <a:ext cx="3667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ค่าต่างๆ ของอัตราส่วน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600075</xdr:colOff>
      <xdr:row>1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190500"/>
          <a:ext cx="3648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ช่วงสั้น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8</xdr:col>
      <xdr:colOff>9525</xdr:colOff>
      <xdr:row>0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9525"/>
          <a:ext cx="6686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ค่าสัมประสิทธิ์แรงดัดในแผ่นพื้นสองทาง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02">
      <selection activeCell="D110" sqref="D110"/>
    </sheetView>
  </sheetViews>
  <sheetFormatPr defaultColWidth="9.140625" defaultRowHeight="12.75"/>
  <cols>
    <col min="1" max="1" width="6.421875" style="4" customWidth="1"/>
    <col min="2" max="2" width="54.7109375" style="2" customWidth="1"/>
    <col min="3" max="3" width="9.140625" style="4" customWidth="1"/>
    <col min="4" max="4" width="18.421875" style="2" customWidth="1"/>
    <col min="5" max="16384" width="9.140625" style="2" customWidth="1"/>
  </cols>
  <sheetData>
    <row r="1" spans="1:4" ht="21">
      <c r="A1" s="20" t="s">
        <v>0</v>
      </c>
      <c r="B1" s="20" t="s">
        <v>284</v>
      </c>
      <c r="C1" s="20" t="s">
        <v>1</v>
      </c>
      <c r="D1" s="20" t="s">
        <v>2</v>
      </c>
    </row>
    <row r="2" spans="1:4" ht="21">
      <c r="A2" s="1" t="s">
        <v>3</v>
      </c>
      <c r="B2" s="1" t="s">
        <v>4</v>
      </c>
      <c r="C2" s="1" t="s">
        <v>5</v>
      </c>
      <c r="D2" s="1" t="s">
        <v>6</v>
      </c>
    </row>
    <row r="3" spans="1:4" ht="21">
      <c r="A3" s="1">
        <v>3</v>
      </c>
      <c r="B3" s="5" t="s">
        <v>7</v>
      </c>
      <c r="C3" s="1"/>
      <c r="D3" s="3"/>
    </row>
    <row r="4" spans="1:4" ht="21">
      <c r="A4" s="1">
        <v>4</v>
      </c>
      <c r="B4" s="3" t="s">
        <v>8</v>
      </c>
      <c r="C4" s="1" t="s">
        <v>9</v>
      </c>
      <c r="D4" s="5">
        <v>350</v>
      </c>
    </row>
    <row r="5" spans="1:4" ht="21">
      <c r="A5" s="1">
        <v>5</v>
      </c>
      <c r="B5" s="3" t="s">
        <v>10</v>
      </c>
      <c r="C5" s="1" t="s">
        <v>9</v>
      </c>
      <c r="D5" s="5">
        <v>3000</v>
      </c>
    </row>
    <row r="6" spans="1:4" ht="21">
      <c r="A6" s="1">
        <v>6</v>
      </c>
      <c r="B6" s="3" t="s">
        <v>11</v>
      </c>
      <c r="C6" s="1" t="s">
        <v>9</v>
      </c>
      <c r="D6" s="5">
        <v>2400</v>
      </c>
    </row>
    <row r="7" spans="1:4" ht="21">
      <c r="A7" s="1">
        <v>7</v>
      </c>
      <c r="B7" s="3" t="s">
        <v>12</v>
      </c>
      <c r="C7" s="1"/>
      <c r="D7" s="3">
        <f>IF(D4&lt;=280,0.85,IF(D4&gt;560,0.65,0.85-0.05*(D4-280)/70))</f>
        <v>0.7999999999999999</v>
      </c>
    </row>
    <row r="8" spans="1:4" ht="21">
      <c r="A8" s="1">
        <v>8</v>
      </c>
      <c r="B8" s="3" t="s">
        <v>13</v>
      </c>
      <c r="C8" s="1"/>
      <c r="D8" s="3">
        <f>D7*0.85*D4*6120/D5/(6120+D5)</f>
        <v>0.05323684210526315</v>
      </c>
    </row>
    <row r="9" spans="1:4" ht="21">
      <c r="A9" s="1">
        <v>9</v>
      </c>
      <c r="B9" s="3" t="s">
        <v>14</v>
      </c>
      <c r="C9" s="1"/>
      <c r="D9" s="3">
        <f>0.75*D8</f>
        <v>0.03992763157894737</v>
      </c>
    </row>
    <row r="10" spans="1:4" ht="21">
      <c r="A10" s="1">
        <v>10</v>
      </c>
      <c r="B10" s="3" t="s">
        <v>15</v>
      </c>
      <c r="C10" s="1"/>
      <c r="D10" s="3">
        <f>14/D5</f>
        <v>0.004666666666666667</v>
      </c>
    </row>
    <row r="11" spans="1:4" ht="21">
      <c r="A11" s="1">
        <v>11</v>
      </c>
      <c r="B11" s="5" t="s">
        <v>16</v>
      </c>
      <c r="C11" s="1"/>
      <c r="D11" s="3"/>
    </row>
    <row r="12" spans="1:4" ht="21">
      <c r="A12" s="1">
        <v>12</v>
      </c>
      <c r="B12" s="3" t="s">
        <v>17</v>
      </c>
      <c r="C12" s="1" t="s">
        <v>18</v>
      </c>
      <c r="D12" s="46">
        <v>7</v>
      </c>
    </row>
    <row r="13" spans="1:4" ht="21">
      <c r="A13" s="1">
        <v>13</v>
      </c>
      <c r="B13" s="3" t="s">
        <v>19</v>
      </c>
      <c r="C13" s="1" t="s">
        <v>20</v>
      </c>
      <c r="D13" s="5">
        <v>3000</v>
      </c>
    </row>
    <row r="14" spans="1:4" ht="21">
      <c r="A14" s="1">
        <v>14</v>
      </c>
      <c r="B14" s="3" t="s">
        <v>21</v>
      </c>
      <c r="C14" s="1" t="s">
        <v>20</v>
      </c>
      <c r="D14" s="5">
        <v>2500</v>
      </c>
    </row>
    <row r="15" spans="1:4" ht="21">
      <c r="A15" s="1">
        <v>15</v>
      </c>
      <c r="B15" s="5" t="s">
        <v>22</v>
      </c>
      <c r="C15" s="1"/>
      <c r="D15" s="3"/>
    </row>
    <row r="16" spans="1:4" ht="21">
      <c r="A16" s="1">
        <v>16</v>
      </c>
      <c r="B16" s="3" t="s">
        <v>23</v>
      </c>
      <c r="C16" s="1" t="s">
        <v>18</v>
      </c>
      <c r="D16" s="45">
        <f>(D12/16)*(0.4+D5/7000)</f>
        <v>0.3625</v>
      </c>
    </row>
    <row r="17" spans="1:4" ht="21">
      <c r="A17" s="1">
        <v>17</v>
      </c>
      <c r="B17" s="3" t="s">
        <v>24</v>
      </c>
      <c r="C17" s="1" t="s">
        <v>18</v>
      </c>
      <c r="D17" s="45">
        <f>D12/10</f>
        <v>0.7</v>
      </c>
    </row>
    <row r="18" spans="1:4" ht="21">
      <c r="A18" s="1">
        <v>18</v>
      </c>
      <c r="B18" s="6" t="s">
        <v>25</v>
      </c>
      <c r="C18" s="1" t="s">
        <v>18</v>
      </c>
      <c r="D18" s="46">
        <v>1</v>
      </c>
    </row>
    <row r="19" spans="1:4" ht="21">
      <c r="A19" s="1">
        <v>19</v>
      </c>
      <c r="B19" s="5" t="s">
        <v>26</v>
      </c>
      <c r="C19" s="1"/>
      <c r="D19" s="3"/>
    </row>
    <row r="20" spans="1:4" ht="21">
      <c r="A20" s="1">
        <v>20</v>
      </c>
      <c r="B20" s="3" t="s">
        <v>27</v>
      </c>
      <c r="C20" s="1" t="s">
        <v>18</v>
      </c>
      <c r="D20" s="43">
        <f>D18/5</f>
        <v>0.2</v>
      </c>
    </row>
    <row r="21" spans="1:4" ht="21">
      <c r="A21" s="1">
        <v>21</v>
      </c>
      <c r="B21" s="3" t="s">
        <v>28</v>
      </c>
      <c r="C21" s="1" t="s">
        <v>18</v>
      </c>
      <c r="D21" s="43">
        <f>D12/35</f>
        <v>0.2</v>
      </c>
    </row>
    <row r="22" spans="1:4" ht="21">
      <c r="A22" s="1">
        <v>22</v>
      </c>
      <c r="B22" s="3" t="s">
        <v>29</v>
      </c>
      <c r="C22" s="1" t="s">
        <v>18</v>
      </c>
      <c r="D22" s="43">
        <v>0.2</v>
      </c>
    </row>
    <row r="23" spans="1:4" ht="21">
      <c r="A23" s="1">
        <v>23</v>
      </c>
      <c r="B23" s="6" t="s">
        <v>30</v>
      </c>
      <c r="C23" s="1" t="s">
        <v>18</v>
      </c>
      <c r="D23" s="44">
        <v>0.35</v>
      </c>
    </row>
    <row r="24" spans="1:4" ht="21">
      <c r="A24" s="1">
        <v>24</v>
      </c>
      <c r="B24" s="6" t="s">
        <v>31</v>
      </c>
      <c r="C24" s="1" t="s">
        <v>32</v>
      </c>
      <c r="D24" s="5">
        <v>4</v>
      </c>
    </row>
    <row r="25" spans="1:4" ht="21">
      <c r="A25" s="1">
        <v>25</v>
      </c>
      <c r="B25" s="6" t="s">
        <v>33</v>
      </c>
      <c r="C25" s="1" t="s">
        <v>34</v>
      </c>
      <c r="D25" s="5">
        <v>9</v>
      </c>
    </row>
    <row r="26" spans="1:4" ht="21">
      <c r="A26" s="1">
        <v>26</v>
      </c>
      <c r="B26" s="3" t="s">
        <v>57</v>
      </c>
      <c r="C26" s="1" t="s">
        <v>160</v>
      </c>
      <c r="D26" s="43">
        <f>2*3.1415926*D25^2/400</f>
        <v>1.272345003</v>
      </c>
    </row>
    <row r="27" spans="1:4" ht="21">
      <c r="A27" s="1">
        <v>27</v>
      </c>
      <c r="B27" s="6" t="s">
        <v>35</v>
      </c>
      <c r="C27" s="1" t="s">
        <v>34</v>
      </c>
      <c r="D27" s="5">
        <v>25</v>
      </c>
    </row>
    <row r="28" spans="1:4" ht="21">
      <c r="A28" s="1">
        <v>28</v>
      </c>
      <c r="B28" s="3" t="s">
        <v>58</v>
      </c>
      <c r="C28" s="1" t="s">
        <v>160</v>
      </c>
      <c r="D28" s="43">
        <f>3.1415926*D27^2/400</f>
        <v>4.9087384375</v>
      </c>
    </row>
    <row r="29" spans="1:4" ht="21">
      <c r="A29" s="1">
        <v>29</v>
      </c>
      <c r="B29" s="6" t="s">
        <v>36</v>
      </c>
      <c r="C29" s="1" t="s">
        <v>37</v>
      </c>
      <c r="D29" s="5">
        <v>2</v>
      </c>
    </row>
    <row r="30" spans="1:4" ht="21">
      <c r="A30" s="1">
        <v>30</v>
      </c>
      <c r="B30" s="3" t="s">
        <v>38</v>
      </c>
      <c r="C30" s="1" t="s">
        <v>32</v>
      </c>
      <c r="D30" s="3">
        <f>100*D18-4-D25/10-D27/20</f>
        <v>93.85</v>
      </c>
    </row>
    <row r="31" spans="1:4" ht="21">
      <c r="A31" s="1">
        <v>31</v>
      </c>
      <c r="B31" s="3" t="s">
        <v>39</v>
      </c>
      <c r="C31" s="1" t="s">
        <v>32</v>
      </c>
      <c r="D31" s="3">
        <f>100*D18-4-D25/10-D27/10-1.25</f>
        <v>91.35</v>
      </c>
    </row>
    <row r="32" spans="1:4" ht="21">
      <c r="A32" s="1">
        <v>32</v>
      </c>
      <c r="B32" s="3" t="s">
        <v>40</v>
      </c>
      <c r="C32" s="1" t="s">
        <v>32</v>
      </c>
      <c r="D32" s="3">
        <f>100*D18-4-D25/10-D27/10-2.5-D27/20</f>
        <v>88.85</v>
      </c>
    </row>
    <row r="33" spans="1:4" ht="21">
      <c r="A33" s="1">
        <v>33</v>
      </c>
      <c r="B33" s="3" t="s">
        <v>41</v>
      </c>
      <c r="C33" s="1" t="s">
        <v>32</v>
      </c>
      <c r="D33" s="3">
        <f>100*D18-4-D25/10-D27/10-2.5-D27/10-1.25</f>
        <v>86.35</v>
      </c>
    </row>
    <row r="34" spans="1:4" ht="21">
      <c r="A34" s="1">
        <v>34</v>
      </c>
      <c r="B34" s="6" t="s">
        <v>42</v>
      </c>
      <c r="C34" s="1" t="s">
        <v>32</v>
      </c>
      <c r="D34" s="5">
        <v>91.35</v>
      </c>
    </row>
    <row r="35" spans="1:4" ht="21">
      <c r="A35" s="1">
        <v>35</v>
      </c>
      <c r="B35" s="6" t="s">
        <v>43</v>
      </c>
      <c r="C35" s="1" t="s">
        <v>34</v>
      </c>
      <c r="D35" s="5">
        <v>25</v>
      </c>
    </row>
    <row r="36" spans="1:4" ht="21">
      <c r="A36" s="1">
        <v>36</v>
      </c>
      <c r="B36" s="3" t="s">
        <v>59</v>
      </c>
      <c r="C36" s="1" t="s">
        <v>160</v>
      </c>
      <c r="D36" s="43">
        <f>3.1415926*D35^2/400</f>
        <v>4.9087384375</v>
      </c>
    </row>
    <row r="37" spans="1:4" ht="21">
      <c r="A37" s="1">
        <v>37</v>
      </c>
      <c r="B37" s="6" t="s">
        <v>44</v>
      </c>
      <c r="C37" s="1" t="s">
        <v>37</v>
      </c>
      <c r="D37" s="5">
        <v>1</v>
      </c>
    </row>
    <row r="38" spans="1:4" ht="21">
      <c r="A38" s="1">
        <v>38</v>
      </c>
      <c r="B38" s="3" t="s">
        <v>45</v>
      </c>
      <c r="C38" s="1" t="s">
        <v>32</v>
      </c>
      <c r="D38" s="3">
        <f>4+D25/10+D35/20</f>
        <v>6.15</v>
      </c>
    </row>
    <row r="39" spans="1:4" ht="21">
      <c r="A39" s="1">
        <v>39</v>
      </c>
      <c r="B39" s="3" t="s">
        <v>47</v>
      </c>
      <c r="C39" s="1" t="s">
        <v>32</v>
      </c>
      <c r="D39" s="3">
        <f>4+D25/10+D35/10+1.25</f>
        <v>8.65</v>
      </c>
    </row>
    <row r="40" spans="1:4" ht="21">
      <c r="A40" s="1">
        <v>40</v>
      </c>
      <c r="B40" s="3" t="s">
        <v>48</v>
      </c>
      <c r="C40" s="1" t="s">
        <v>32</v>
      </c>
      <c r="D40" s="3">
        <f>4+D25/10+D35/10+2.5+D35/20</f>
        <v>11.15</v>
      </c>
    </row>
    <row r="41" spans="1:4" ht="21">
      <c r="A41" s="1">
        <v>41</v>
      </c>
      <c r="B41" s="3" t="s">
        <v>49</v>
      </c>
      <c r="C41" s="1" t="s">
        <v>32</v>
      </c>
      <c r="D41" s="3">
        <f>4+D25/10+D35/10+2.5+D35/10+1.25</f>
        <v>13.65</v>
      </c>
    </row>
    <row r="42" spans="1:4" ht="21">
      <c r="A42" s="1">
        <v>42</v>
      </c>
      <c r="B42" s="6" t="s">
        <v>46</v>
      </c>
      <c r="C42" s="1" t="s">
        <v>32</v>
      </c>
      <c r="D42" s="5">
        <v>6.15</v>
      </c>
    </row>
    <row r="43" spans="1:4" ht="21">
      <c r="A43" s="1">
        <v>43</v>
      </c>
      <c r="B43" s="3" t="s">
        <v>50</v>
      </c>
      <c r="C43" s="1" t="s">
        <v>20</v>
      </c>
      <c r="D43" s="3">
        <f>2400*D23*D18</f>
        <v>840</v>
      </c>
    </row>
    <row r="44" spans="1:4" ht="21">
      <c r="A44" s="1">
        <v>44</v>
      </c>
      <c r="B44" s="3" t="s">
        <v>541</v>
      </c>
      <c r="C44" s="1"/>
      <c r="D44" s="46">
        <v>1.4</v>
      </c>
    </row>
    <row r="45" spans="1:4" ht="21">
      <c r="A45" s="1">
        <v>45</v>
      </c>
      <c r="B45" s="3" t="s">
        <v>542</v>
      </c>
      <c r="C45" s="1"/>
      <c r="D45" s="46">
        <v>1.7</v>
      </c>
    </row>
    <row r="46" spans="1:4" ht="21">
      <c r="A46" s="1">
        <v>46</v>
      </c>
      <c r="B46" s="3" t="s">
        <v>543</v>
      </c>
      <c r="C46" s="1" t="s">
        <v>20</v>
      </c>
      <c r="D46" s="3">
        <f>D44*(D43+D13)+D45*D14</f>
        <v>9626</v>
      </c>
    </row>
    <row r="47" spans="1:4" ht="21">
      <c r="A47" s="1">
        <v>47</v>
      </c>
      <c r="B47" s="3" t="s">
        <v>51</v>
      </c>
      <c r="C47" s="1" t="s">
        <v>52</v>
      </c>
      <c r="D47" s="45">
        <f>D46*D12*D12/8</f>
        <v>58959.25</v>
      </c>
    </row>
    <row r="48" spans="1:4" ht="21">
      <c r="A48" s="1">
        <v>48</v>
      </c>
      <c r="B48" s="3" t="s">
        <v>53</v>
      </c>
      <c r="C48" s="1" t="s">
        <v>54</v>
      </c>
      <c r="D48" s="45">
        <f>D46*(D12/2-D34/100)</f>
        <v>24897.649</v>
      </c>
    </row>
    <row r="49" spans="1:4" ht="21">
      <c r="A49" s="1">
        <v>49</v>
      </c>
      <c r="B49" s="3" t="s">
        <v>55</v>
      </c>
      <c r="C49" s="1" t="s">
        <v>52</v>
      </c>
      <c r="D49" s="45">
        <f>D48*D34/100-D46*D34*D34/20000</f>
        <v>18727.639292249998</v>
      </c>
    </row>
    <row r="50" spans="1:4" ht="21">
      <c r="A50" s="1">
        <v>50</v>
      </c>
      <c r="B50" s="7" t="s">
        <v>56</v>
      </c>
      <c r="C50" s="1"/>
      <c r="D50" s="3"/>
    </row>
    <row r="51" spans="1:4" ht="21">
      <c r="A51" s="1">
        <v>51</v>
      </c>
      <c r="B51" s="3" t="s">
        <v>61</v>
      </c>
      <c r="C51" s="1"/>
      <c r="D51" s="3">
        <f>D9</f>
        <v>0.03992763157894737</v>
      </c>
    </row>
    <row r="52" spans="1:4" ht="21">
      <c r="A52" s="1">
        <v>52</v>
      </c>
      <c r="B52" s="3" t="s">
        <v>62</v>
      </c>
      <c r="C52" s="1" t="s">
        <v>9</v>
      </c>
      <c r="D52" s="3">
        <f>D51*D5*(1-0.5882*D51*D5/D4)</f>
        <v>95.67015356873267</v>
      </c>
    </row>
    <row r="53" spans="1:4" ht="21">
      <c r="A53" s="1">
        <v>53</v>
      </c>
      <c r="B53" s="3" t="s">
        <v>546</v>
      </c>
      <c r="C53" s="1" t="s">
        <v>52</v>
      </c>
      <c r="D53" s="47">
        <f>0.9*D52*D23*D34*D34</f>
        <v>251480.3917748269</v>
      </c>
    </row>
    <row r="54" spans="1:4" ht="21">
      <c r="A54" s="1">
        <v>54</v>
      </c>
      <c r="B54" s="6" t="s">
        <v>63</v>
      </c>
      <c r="C54" s="1"/>
      <c r="D54" s="6">
        <f>IF(D53&lt;D47,1,2)</f>
        <v>2</v>
      </c>
    </row>
    <row r="55" spans="1:4" ht="21">
      <c r="A55" s="1">
        <v>55</v>
      </c>
      <c r="B55" s="6" t="s">
        <v>544</v>
      </c>
      <c r="C55" s="1"/>
      <c r="D55" s="6"/>
    </row>
    <row r="56" spans="1:4" ht="21">
      <c r="A56" s="1">
        <v>56</v>
      </c>
      <c r="B56" s="3" t="s">
        <v>64</v>
      </c>
      <c r="C56" s="1" t="s">
        <v>65</v>
      </c>
      <c r="D56" s="3">
        <f>IF(D54=1,D53*100,0)</f>
        <v>0</v>
      </c>
    </row>
    <row r="57" spans="1:4" ht="21">
      <c r="A57" s="1">
        <v>57</v>
      </c>
      <c r="B57" s="3" t="s">
        <v>66</v>
      </c>
      <c r="C57" s="1" t="s">
        <v>160</v>
      </c>
      <c r="D57" s="43">
        <f>IF(D54=1,D51*D23*100*D34,0)</f>
        <v>0</v>
      </c>
    </row>
    <row r="58" spans="1:4" ht="21">
      <c r="A58" s="1">
        <v>58</v>
      </c>
      <c r="B58" s="3" t="s">
        <v>67</v>
      </c>
      <c r="C58" s="1"/>
      <c r="D58" s="3">
        <f>IF(D54=1,D9,0)</f>
        <v>0</v>
      </c>
    </row>
    <row r="59" spans="1:4" ht="21">
      <c r="A59" s="1">
        <v>59</v>
      </c>
      <c r="B59" s="3" t="s">
        <v>68</v>
      </c>
      <c r="C59" s="1" t="s">
        <v>65</v>
      </c>
      <c r="D59" s="3">
        <f>IF(D54=1,(D47-D53)*100,0)</f>
        <v>0</v>
      </c>
    </row>
    <row r="60" spans="1:4" ht="21">
      <c r="A60" s="1">
        <v>60</v>
      </c>
      <c r="B60" s="6" t="s">
        <v>545</v>
      </c>
      <c r="C60" s="1"/>
      <c r="D60" s="3"/>
    </row>
    <row r="61" spans="1:4" ht="21">
      <c r="A61" s="1">
        <v>61</v>
      </c>
      <c r="B61" s="3" t="s">
        <v>539</v>
      </c>
      <c r="C61" s="1" t="s">
        <v>9</v>
      </c>
      <c r="D61" s="43">
        <f>IF(D54=2,D47*100/0.9/D23/100/D34^2,0)</f>
        <v>22.42974278029548</v>
      </c>
    </row>
    <row r="62" spans="1:4" ht="21">
      <c r="A62" s="1">
        <v>62</v>
      </c>
      <c r="B62" s="3" t="s">
        <v>540</v>
      </c>
      <c r="C62" s="1"/>
      <c r="D62" s="3">
        <f>0.85*D4/D5*(1-SQRT(1-2*D61/0.85/D4))</f>
        <v>0.00778191651306598</v>
      </c>
    </row>
    <row r="63" spans="1:4" ht="21">
      <c r="A63" s="1">
        <v>63</v>
      </c>
      <c r="B63" s="3" t="s">
        <v>66</v>
      </c>
      <c r="C63" s="1" t="s">
        <v>160</v>
      </c>
      <c r="D63" s="43">
        <f>D62*D23*100*D34</f>
        <v>24.880732571400202</v>
      </c>
    </row>
    <row r="64" spans="1:4" ht="21">
      <c r="A64" s="1">
        <v>64</v>
      </c>
      <c r="B64" s="5" t="s">
        <v>69</v>
      </c>
      <c r="C64" s="1"/>
      <c r="D64" s="3"/>
    </row>
    <row r="65" spans="1:4" ht="21">
      <c r="A65" s="1">
        <v>65</v>
      </c>
      <c r="B65" s="3" t="s">
        <v>70</v>
      </c>
      <c r="C65" s="1"/>
      <c r="D65" s="3">
        <f>D7*0.85*D4/D5*D42/D34*6120/(6120-D5)</f>
        <v>0.010476569407603891</v>
      </c>
    </row>
    <row r="66" spans="1:4" ht="21">
      <c r="A66" s="1">
        <v>66</v>
      </c>
      <c r="B66" s="6" t="s">
        <v>71</v>
      </c>
      <c r="C66" s="1"/>
      <c r="D66" s="6">
        <f>IF(D58&gt;=D65,1,2)</f>
        <v>2</v>
      </c>
    </row>
    <row r="67" spans="1:4" ht="21">
      <c r="A67" s="1">
        <v>67</v>
      </c>
      <c r="B67" s="3" t="s">
        <v>72</v>
      </c>
      <c r="C67" s="1" t="s">
        <v>9</v>
      </c>
      <c r="D67" s="3">
        <f>D5</f>
        <v>3000</v>
      </c>
    </row>
    <row r="68" spans="1:4" ht="21">
      <c r="A68" s="1">
        <v>68</v>
      </c>
      <c r="B68" s="3" t="s">
        <v>73</v>
      </c>
      <c r="C68" s="1" t="s">
        <v>32</v>
      </c>
      <c r="D68" s="43">
        <f>IF(D57=0,D63*D5/0.85/D4/(100*D23))</f>
        <v>7.168518387918426</v>
      </c>
    </row>
    <row r="69" spans="1:4" ht="21">
      <c r="A69" s="1">
        <v>69</v>
      </c>
      <c r="B69" s="3" t="s">
        <v>74</v>
      </c>
      <c r="C69" s="1" t="s">
        <v>32</v>
      </c>
      <c r="D69" s="43">
        <f>D68/D7</f>
        <v>8.960647984898033</v>
      </c>
    </row>
    <row r="70" spans="1:4" ht="21">
      <c r="A70" s="1">
        <v>70</v>
      </c>
      <c r="B70" s="3" t="s">
        <v>75</v>
      </c>
      <c r="C70" s="1" t="s">
        <v>9</v>
      </c>
      <c r="D70" s="45">
        <f>6120*(1-D42/D69)</f>
        <v>1919.6341265236856</v>
      </c>
    </row>
    <row r="71" spans="1:4" ht="21">
      <c r="A71" s="1">
        <v>71</v>
      </c>
      <c r="B71" s="3" t="s">
        <v>76</v>
      </c>
      <c r="C71" s="1" t="s">
        <v>9</v>
      </c>
      <c r="D71" s="3">
        <f>IF(D67&lt;D70,D67,D70)</f>
        <v>1919.6341265236856</v>
      </c>
    </row>
    <row r="72" spans="1:4" ht="21">
      <c r="A72" s="1">
        <v>72</v>
      </c>
      <c r="B72" s="3" t="s">
        <v>77</v>
      </c>
      <c r="C72" s="1" t="s">
        <v>160</v>
      </c>
      <c r="D72" s="43">
        <f>D59/0.9/D71/(D34-D42)</f>
        <v>0</v>
      </c>
    </row>
    <row r="73" spans="1:4" ht="21">
      <c r="A73" s="1">
        <v>73</v>
      </c>
      <c r="B73" s="3" t="s">
        <v>78</v>
      </c>
      <c r="C73" s="1" t="s">
        <v>160</v>
      </c>
      <c r="D73" s="43">
        <f>D72*D71/D5</f>
        <v>0</v>
      </c>
    </row>
    <row r="74" spans="1:4" ht="21">
      <c r="A74" s="1">
        <v>74</v>
      </c>
      <c r="B74" s="3" t="s">
        <v>79</v>
      </c>
      <c r="C74" s="1" t="s">
        <v>160</v>
      </c>
      <c r="D74" s="43">
        <f>IF(D54=2,D63,D57+D73)</f>
        <v>24.880732571400202</v>
      </c>
    </row>
    <row r="75" spans="1:4" ht="21">
      <c r="A75" s="1">
        <v>75</v>
      </c>
      <c r="B75" s="7" t="s">
        <v>80</v>
      </c>
      <c r="C75" s="1" t="s">
        <v>60</v>
      </c>
      <c r="D75" s="45">
        <f>D74/D28</f>
        <v>5.068661304363949</v>
      </c>
    </row>
    <row r="76" spans="1:4" ht="21">
      <c r="A76" s="1">
        <v>76</v>
      </c>
      <c r="B76" s="7" t="s">
        <v>81</v>
      </c>
      <c r="C76" s="1" t="s">
        <v>60</v>
      </c>
      <c r="D76" s="45">
        <f>D73/D36</f>
        <v>0</v>
      </c>
    </row>
    <row r="77" spans="1:4" ht="21">
      <c r="A77" s="1">
        <v>77</v>
      </c>
      <c r="B77" s="6" t="s">
        <v>82</v>
      </c>
      <c r="C77" s="1" t="s">
        <v>60</v>
      </c>
      <c r="D77" s="5">
        <v>6</v>
      </c>
    </row>
    <row r="78" spans="1:4" ht="21">
      <c r="A78" s="1">
        <v>78</v>
      </c>
      <c r="B78" s="6" t="s">
        <v>83</v>
      </c>
      <c r="C78" s="1" t="s">
        <v>37</v>
      </c>
      <c r="D78" s="5">
        <v>2</v>
      </c>
    </row>
    <row r="79" spans="1:4" ht="21">
      <c r="A79" s="1">
        <v>79</v>
      </c>
      <c r="B79" s="6" t="s">
        <v>84</v>
      </c>
      <c r="C79" s="1" t="s">
        <v>32</v>
      </c>
      <c r="D79" s="5">
        <f>D31</f>
        <v>91.35</v>
      </c>
    </row>
    <row r="80" spans="1:4" ht="21">
      <c r="A80" s="1">
        <v>80</v>
      </c>
      <c r="B80" s="3" t="s">
        <v>85</v>
      </c>
      <c r="C80" s="1" t="s">
        <v>160</v>
      </c>
      <c r="D80" s="45">
        <f>D77*D28</f>
        <v>29.452430625</v>
      </c>
    </row>
    <row r="81" spans="1:4" ht="21">
      <c r="A81" s="1">
        <v>81</v>
      </c>
      <c r="B81" s="6" t="s">
        <v>86</v>
      </c>
      <c r="C81" s="1" t="s">
        <v>60</v>
      </c>
      <c r="D81" s="5">
        <v>3</v>
      </c>
    </row>
    <row r="82" spans="1:4" ht="21">
      <c r="A82" s="1">
        <v>82</v>
      </c>
      <c r="B82" s="6" t="s">
        <v>87</v>
      </c>
      <c r="C82" s="1" t="s">
        <v>37</v>
      </c>
      <c r="D82" s="5">
        <v>1</v>
      </c>
    </row>
    <row r="83" spans="1:4" ht="21">
      <c r="A83" s="1">
        <v>83</v>
      </c>
      <c r="B83" s="6" t="s">
        <v>89</v>
      </c>
      <c r="C83" s="1" t="s">
        <v>32</v>
      </c>
      <c r="D83" s="5">
        <v>6.15</v>
      </c>
    </row>
    <row r="84" spans="1:4" ht="21">
      <c r="A84" s="1">
        <v>84</v>
      </c>
      <c r="B84" s="3" t="s">
        <v>88</v>
      </c>
      <c r="C84" s="1" t="s">
        <v>160</v>
      </c>
      <c r="D84" s="45">
        <f>D81*D36</f>
        <v>14.7262153125</v>
      </c>
    </row>
    <row r="85" spans="1:4" ht="21">
      <c r="A85" s="1">
        <v>85</v>
      </c>
      <c r="B85" s="5" t="s">
        <v>90</v>
      </c>
      <c r="C85" s="1"/>
      <c r="D85" s="3"/>
    </row>
    <row r="86" spans="1:4" ht="21">
      <c r="A86" s="1">
        <v>86</v>
      </c>
      <c r="B86" s="3" t="s">
        <v>91</v>
      </c>
      <c r="C86" s="1"/>
      <c r="D86" s="3">
        <f>(D80-D84)/D23/100/D34</f>
        <v>0.004605900480882009</v>
      </c>
    </row>
    <row r="87" spans="1:4" ht="21">
      <c r="A87" s="1">
        <v>87</v>
      </c>
      <c r="B87" s="3" t="s">
        <v>70</v>
      </c>
      <c r="C87" s="1"/>
      <c r="D87" s="3">
        <f>D7*0.85*D4/D5*D83/D79*6120/(6120-D5)</f>
        <v>0.010476569407603891</v>
      </c>
    </row>
    <row r="88" spans="1:4" ht="21">
      <c r="A88" s="1">
        <v>88</v>
      </c>
      <c r="B88" s="6" t="s">
        <v>92</v>
      </c>
      <c r="C88" s="1"/>
      <c r="D88" s="6">
        <f>IF(D86&gt;D87,1,2)</f>
        <v>2</v>
      </c>
    </row>
    <row r="89" spans="1:4" ht="21">
      <c r="A89" s="1">
        <v>89</v>
      </c>
      <c r="B89" s="3" t="s">
        <v>93</v>
      </c>
      <c r="C89" s="1" t="s">
        <v>9</v>
      </c>
      <c r="D89" s="3">
        <f>D5</f>
        <v>3000</v>
      </c>
    </row>
    <row r="90" spans="1:4" ht="21">
      <c r="A90" s="1">
        <v>90</v>
      </c>
      <c r="B90" s="3" t="s">
        <v>94</v>
      </c>
      <c r="C90" s="1"/>
      <c r="D90" s="3">
        <f>(6120*D84-D80*D5)/1.7/D7/D4/D23/100</f>
        <v>0.10607117872148819</v>
      </c>
    </row>
    <row r="91" spans="1:4" ht="21">
      <c r="A91" s="1">
        <v>91</v>
      </c>
      <c r="B91" s="3" t="s">
        <v>95</v>
      </c>
      <c r="C91" s="1"/>
      <c r="D91" s="3">
        <f>6120*D83*D84/0.85/D7/D4/D23/100</f>
        <v>66.53845041198981</v>
      </c>
    </row>
    <row r="92" spans="1:4" ht="21">
      <c r="A92" s="1">
        <v>92</v>
      </c>
      <c r="B92" s="3" t="s">
        <v>96</v>
      </c>
      <c r="C92" s="1"/>
      <c r="D92" s="45">
        <f>-D90+SQRT(D90^2+D91)</f>
        <v>8.051728862156272</v>
      </c>
    </row>
    <row r="93" spans="1:4" ht="21">
      <c r="A93" s="1">
        <v>93</v>
      </c>
      <c r="B93" s="3" t="s">
        <v>97</v>
      </c>
      <c r="C93" s="1"/>
      <c r="D93" s="45">
        <f>-D90-SQRT(D90^2+D91)</f>
        <v>-8.263871219599247</v>
      </c>
    </row>
    <row r="94" spans="1:4" ht="21">
      <c r="A94" s="1">
        <v>94</v>
      </c>
      <c r="B94" s="3" t="s">
        <v>98</v>
      </c>
      <c r="C94" s="1"/>
      <c r="D94" s="46">
        <v>8.05</v>
      </c>
    </row>
    <row r="95" spans="1:4" ht="21">
      <c r="A95" s="1">
        <v>95</v>
      </c>
      <c r="B95" s="3" t="s">
        <v>99</v>
      </c>
      <c r="C95" s="1" t="s">
        <v>9</v>
      </c>
      <c r="D95" s="45">
        <f>6120*(1-D83/D94)</f>
        <v>1444.472049689441</v>
      </c>
    </row>
    <row r="96" spans="1:4" ht="21">
      <c r="A96" s="1">
        <v>96</v>
      </c>
      <c r="B96" s="3" t="s">
        <v>100</v>
      </c>
      <c r="C96" s="1" t="s">
        <v>9</v>
      </c>
      <c r="D96" s="45">
        <f>IF(D95&lt;D5,D95,D5)</f>
        <v>1444.472049689441</v>
      </c>
    </row>
    <row r="97" spans="1:4" ht="21">
      <c r="A97" s="1">
        <v>97</v>
      </c>
      <c r="B97" s="6" t="s">
        <v>101</v>
      </c>
      <c r="C97" s="1"/>
      <c r="D97" s="3"/>
    </row>
    <row r="98" spans="1:4" ht="21">
      <c r="A98" s="1">
        <v>98</v>
      </c>
      <c r="B98" s="3" t="s">
        <v>102</v>
      </c>
      <c r="C98" s="1"/>
      <c r="D98" s="3">
        <f>(D80-D84*D96/D5)/D23/100/D79</f>
        <v>0.006994102792335612</v>
      </c>
    </row>
    <row r="99" spans="1:4" ht="21">
      <c r="A99" s="1">
        <v>99</v>
      </c>
      <c r="B99" s="6" t="s">
        <v>103</v>
      </c>
      <c r="C99" s="1"/>
      <c r="D99" s="6">
        <f>IF(D9&gt;D98,1,2)</f>
        <v>1</v>
      </c>
    </row>
    <row r="100" spans="1:4" ht="21">
      <c r="A100" s="1">
        <v>100</v>
      </c>
      <c r="B100" s="3" t="s">
        <v>104</v>
      </c>
      <c r="C100" s="1" t="s">
        <v>9</v>
      </c>
      <c r="D100" s="3">
        <f>D5</f>
        <v>3000</v>
      </c>
    </row>
    <row r="101" spans="1:4" ht="21">
      <c r="A101" s="1">
        <v>101</v>
      </c>
      <c r="B101" s="3" t="s">
        <v>105</v>
      </c>
      <c r="C101" s="1" t="s">
        <v>32</v>
      </c>
      <c r="D101" s="43">
        <f>(D80-D84)*D100/0.85/D4/D23/100</f>
        <v>4.2428471488595445</v>
      </c>
    </row>
    <row r="102" spans="1:4" ht="21">
      <c r="A102" s="1">
        <v>102</v>
      </c>
      <c r="B102" s="3" t="s">
        <v>106</v>
      </c>
      <c r="C102" s="1" t="s">
        <v>32</v>
      </c>
      <c r="D102" s="43">
        <f>D7*D94</f>
        <v>6.44</v>
      </c>
    </row>
    <row r="103" spans="1:4" ht="21">
      <c r="A103" s="1">
        <v>103</v>
      </c>
      <c r="B103" s="6" t="s">
        <v>107</v>
      </c>
      <c r="C103" s="1" t="s">
        <v>32</v>
      </c>
      <c r="D103" s="44">
        <v>4.243</v>
      </c>
    </row>
    <row r="104" spans="1:4" ht="21">
      <c r="A104" s="1">
        <v>104</v>
      </c>
      <c r="B104" s="3" t="s">
        <v>108</v>
      </c>
      <c r="C104" s="1" t="s">
        <v>52</v>
      </c>
      <c r="D104" s="45">
        <f>(0.85*D4*D23*100*D103*(D79-D103/2)+D84*D96*(D79-D83))/100</f>
        <v>57544.7718846434</v>
      </c>
    </row>
    <row r="105" spans="1:4" ht="21">
      <c r="A105" s="1">
        <v>105</v>
      </c>
      <c r="B105" s="3" t="s">
        <v>109</v>
      </c>
      <c r="C105" s="1" t="s">
        <v>52</v>
      </c>
      <c r="D105" s="45">
        <f>0.9*D104</f>
        <v>51790.29469617906</v>
      </c>
    </row>
    <row r="106" spans="1:4" ht="21">
      <c r="A106" s="1">
        <v>106</v>
      </c>
      <c r="B106" s="6" t="s">
        <v>110</v>
      </c>
      <c r="C106" s="1" t="s">
        <v>111</v>
      </c>
      <c r="D106" s="6">
        <f>IF(D105&gt;D47,1,2)</f>
        <v>2</v>
      </c>
    </row>
    <row r="107" spans="1:4" ht="21">
      <c r="A107" s="1">
        <v>107</v>
      </c>
      <c r="B107" s="5" t="s">
        <v>112</v>
      </c>
      <c r="C107" s="1"/>
      <c r="D107" s="3"/>
    </row>
    <row r="108" spans="1:4" ht="21">
      <c r="A108" s="1">
        <v>108</v>
      </c>
      <c r="B108" s="3" t="s">
        <v>53</v>
      </c>
      <c r="C108" s="1" t="s">
        <v>54</v>
      </c>
      <c r="D108" s="3">
        <f>D46*(D12/2-D79/100)</f>
        <v>24897.649</v>
      </c>
    </row>
    <row r="109" spans="1:4" ht="21">
      <c r="A109" s="1">
        <v>109</v>
      </c>
      <c r="B109" s="3" t="s">
        <v>113</v>
      </c>
      <c r="C109" s="1"/>
      <c r="D109" s="43">
        <f>IF(SQRT(D4)&lt;27,SQRT(D4),27)</f>
        <v>18.708286933869708</v>
      </c>
    </row>
    <row r="110" spans="1:4" ht="21">
      <c r="A110" s="1">
        <v>110</v>
      </c>
      <c r="B110" s="3" t="s">
        <v>114</v>
      </c>
      <c r="C110" s="1" t="s">
        <v>54</v>
      </c>
      <c r="D110" s="45">
        <f>0.85*0.53*D109*D23*100*D79</f>
        <v>26946.68921489137</v>
      </c>
    </row>
    <row r="111" spans="1:4" ht="21">
      <c r="A111" s="1">
        <v>111</v>
      </c>
      <c r="B111" s="3" t="s">
        <v>116</v>
      </c>
      <c r="C111" s="1" t="s">
        <v>54</v>
      </c>
      <c r="D111" s="45">
        <f>D108-D110</f>
        <v>-2049.040214891367</v>
      </c>
    </row>
    <row r="112" spans="1:4" ht="21">
      <c r="A112" s="1">
        <v>112</v>
      </c>
      <c r="B112" s="3" t="s">
        <v>117</v>
      </c>
      <c r="C112" s="1" t="s">
        <v>54</v>
      </c>
      <c r="D112" s="45">
        <f>2.1*0.85*D109*D23*100*D79</f>
        <v>106769.90066277712</v>
      </c>
    </row>
    <row r="113" spans="1:4" ht="21">
      <c r="A113" s="1">
        <v>113</v>
      </c>
      <c r="B113" s="3" t="s">
        <v>118</v>
      </c>
      <c r="C113" s="1" t="s">
        <v>54</v>
      </c>
      <c r="D113" s="45">
        <f>1.1*0.85*SQRT(D4)*D23*100*D79</f>
        <v>55927.090823359445</v>
      </c>
    </row>
    <row r="114" spans="1:4" ht="21">
      <c r="A114" s="1">
        <v>114</v>
      </c>
      <c r="B114" s="3" t="s">
        <v>115</v>
      </c>
      <c r="C114" s="1" t="s">
        <v>32</v>
      </c>
      <c r="D114" s="43">
        <f>0.85*D26*D6*D79/D111</f>
        <v>-115.71592346792109</v>
      </c>
    </row>
    <row r="115" spans="1:4" ht="21">
      <c r="A115" s="1">
        <v>115</v>
      </c>
      <c r="B115" s="3" t="s">
        <v>120</v>
      </c>
      <c r="C115" s="1" t="s">
        <v>32</v>
      </c>
      <c r="D115" s="3">
        <f>D79/2</f>
        <v>45.675</v>
      </c>
    </row>
    <row r="116" spans="1:4" ht="21">
      <c r="A116" s="1">
        <v>116</v>
      </c>
      <c r="B116" s="3" t="s">
        <v>119</v>
      </c>
      <c r="C116" s="1" t="s">
        <v>32</v>
      </c>
      <c r="D116" s="3">
        <v>60</v>
      </c>
    </row>
    <row r="117" spans="1:4" ht="21">
      <c r="A117" s="1">
        <v>117</v>
      </c>
      <c r="B117" s="3" t="s">
        <v>121</v>
      </c>
      <c r="C117" s="1" t="s">
        <v>32</v>
      </c>
      <c r="D117" s="43">
        <f>D79/4</f>
        <v>22.8375</v>
      </c>
    </row>
    <row r="118" spans="1:4" ht="21">
      <c r="A118" s="1">
        <v>118</v>
      </c>
      <c r="B118" s="3" t="s">
        <v>122</v>
      </c>
      <c r="C118" s="1" t="s">
        <v>32</v>
      </c>
      <c r="D118" s="3">
        <v>30</v>
      </c>
    </row>
    <row r="119" spans="1:4" ht="21">
      <c r="A119" s="8"/>
      <c r="B119" s="9"/>
      <c r="C119" s="8"/>
      <c r="D119" s="9"/>
    </row>
    <row r="120" spans="1:4" ht="21">
      <c r="A120" s="8"/>
      <c r="B120" s="9"/>
      <c r="C120" s="8"/>
      <c r="D120" s="9"/>
    </row>
    <row r="121" spans="1:4" ht="21">
      <c r="A121" s="8"/>
      <c r="B121" s="9"/>
      <c r="C121" s="8"/>
      <c r="D121" s="9"/>
    </row>
    <row r="122" spans="1:4" ht="21">
      <c r="A122" s="8"/>
      <c r="B122" s="9"/>
      <c r="C122" s="8"/>
      <c r="D122" s="9"/>
    </row>
    <row r="123" spans="1:4" ht="21">
      <c r="A123" s="8"/>
      <c r="B123" s="9"/>
      <c r="C123" s="8"/>
      <c r="D123" s="9"/>
    </row>
    <row r="124" spans="1:4" ht="21">
      <c r="A124" s="8"/>
      <c r="B124" s="9"/>
      <c r="C124" s="8"/>
      <c r="D124" s="9"/>
    </row>
    <row r="125" spans="1:4" ht="21">
      <c r="A125" s="8"/>
      <c r="B125" s="9"/>
      <c r="C125" s="8"/>
      <c r="D125" s="9"/>
    </row>
    <row r="126" spans="1:4" ht="21">
      <c r="A126" s="8"/>
      <c r="B126" s="9"/>
      <c r="C126" s="8"/>
      <c r="D126" s="9"/>
    </row>
    <row r="127" spans="1:4" ht="21">
      <c r="A127" s="8"/>
      <c r="B127" s="9"/>
      <c r="C127" s="8"/>
      <c r="D127" s="9"/>
    </row>
    <row r="128" spans="1:4" ht="21">
      <c r="A128" s="8"/>
      <c r="B128" s="9"/>
      <c r="C128" s="8"/>
      <c r="D128" s="9"/>
    </row>
    <row r="129" spans="1:4" ht="21">
      <c r="A129" s="8"/>
      <c r="B129" s="9"/>
      <c r="C129" s="8"/>
      <c r="D129" s="9"/>
    </row>
    <row r="130" spans="1:4" ht="21">
      <c r="A130" s="8"/>
      <c r="B130" s="9"/>
      <c r="C130" s="8"/>
      <c r="D130" s="9"/>
    </row>
    <row r="131" spans="1:4" ht="21">
      <c r="A131" s="8"/>
      <c r="B131" s="9"/>
      <c r="C131" s="8"/>
      <c r="D131" s="9"/>
    </row>
    <row r="132" spans="1:4" ht="21">
      <c r="A132" s="8"/>
      <c r="B132" s="9"/>
      <c r="C132" s="8"/>
      <c r="D132" s="9"/>
    </row>
    <row r="133" spans="1:4" ht="21">
      <c r="A133" s="8"/>
      <c r="B133" s="9"/>
      <c r="C133" s="8"/>
      <c r="D133" s="9"/>
    </row>
    <row r="134" spans="1:4" ht="21">
      <c r="A134" s="8"/>
      <c r="B134" s="9"/>
      <c r="C134" s="8"/>
      <c r="D134" s="9"/>
    </row>
    <row r="135" spans="1:4" ht="21">
      <c r="A135" s="8"/>
      <c r="B135" s="9"/>
      <c r="C135" s="8"/>
      <c r="D135" s="9"/>
    </row>
  </sheetData>
  <sheetProtection/>
  <printOptions/>
  <pageMargins left="0.5511811023622047" right="0.35433070866141736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B104" sqref="B104"/>
    </sheetView>
  </sheetViews>
  <sheetFormatPr defaultColWidth="9.140625" defaultRowHeight="12.75"/>
  <cols>
    <col min="1" max="1" width="9.140625" style="10" customWidth="1"/>
    <col min="2" max="2" width="56.7109375" style="11" customWidth="1"/>
    <col min="3" max="3" width="9.140625" style="10" customWidth="1"/>
    <col min="4" max="4" width="15.57421875" style="11" customWidth="1"/>
    <col min="5" max="16384" width="9.140625" style="11" customWidth="1"/>
  </cols>
  <sheetData>
    <row r="1" spans="1:4" s="10" customFormat="1" ht="23.25">
      <c r="A1" s="18" t="s">
        <v>0</v>
      </c>
      <c r="B1" s="18" t="s">
        <v>123</v>
      </c>
      <c r="C1" s="18" t="s">
        <v>1</v>
      </c>
      <c r="D1" s="18" t="s">
        <v>2</v>
      </c>
    </row>
    <row r="2" spans="1:4" s="10" customFormat="1" ht="23.25">
      <c r="A2" s="19" t="s">
        <v>3</v>
      </c>
      <c r="B2" s="19" t="s">
        <v>4</v>
      </c>
      <c r="C2" s="19" t="s">
        <v>5</v>
      </c>
      <c r="D2" s="19" t="s">
        <v>6</v>
      </c>
    </row>
    <row r="3" spans="1:4" ht="23.25">
      <c r="A3" s="12">
        <v>3</v>
      </c>
      <c r="B3" s="14" t="s">
        <v>124</v>
      </c>
      <c r="C3" s="12"/>
      <c r="D3" s="13"/>
    </row>
    <row r="4" spans="1:4" ht="23.25">
      <c r="A4" s="12">
        <v>4</v>
      </c>
      <c r="B4" s="15" t="s">
        <v>125</v>
      </c>
      <c r="C4" s="12" t="s">
        <v>9</v>
      </c>
      <c r="D4" s="14">
        <v>320</v>
      </c>
    </row>
    <row r="5" spans="1:4" ht="23.25">
      <c r="A5" s="12">
        <v>5</v>
      </c>
      <c r="B5" s="15" t="s">
        <v>126</v>
      </c>
      <c r="C5" s="12" t="s">
        <v>9</v>
      </c>
      <c r="D5" s="14">
        <v>4000</v>
      </c>
    </row>
    <row r="6" spans="1:4" ht="23.25">
      <c r="A6" s="12">
        <v>6</v>
      </c>
      <c r="B6" s="13" t="s">
        <v>127</v>
      </c>
      <c r="C6" s="12"/>
      <c r="D6" s="13"/>
    </row>
    <row r="7" spans="1:4" ht="23.25">
      <c r="A7" s="12">
        <v>7</v>
      </c>
      <c r="B7" s="13" t="s">
        <v>128</v>
      </c>
      <c r="C7" s="12"/>
      <c r="D7" s="13">
        <f>IF(D4&lt;=280,0.85,IF(D4&gt;560,0.65,0.85-0.05*(D4-280)/70))</f>
        <v>0.8214285714285714</v>
      </c>
    </row>
    <row r="8" spans="1:4" ht="23.25">
      <c r="A8" s="12">
        <v>8</v>
      </c>
      <c r="B8" s="13" t="s">
        <v>129</v>
      </c>
      <c r="C8" s="12"/>
      <c r="D8" s="13">
        <f>D7*0.85*D4/D5*6120/(6120+D5)</f>
        <v>0.03377922077922078</v>
      </c>
    </row>
    <row r="9" spans="1:4" ht="23.25">
      <c r="A9" s="12">
        <v>9</v>
      </c>
      <c r="B9" s="13" t="s">
        <v>130</v>
      </c>
      <c r="C9" s="12"/>
      <c r="D9" s="13">
        <f>0.75*D8</f>
        <v>0.025334415584415584</v>
      </c>
    </row>
    <row r="10" spans="1:4" ht="23.25">
      <c r="A10" s="12">
        <v>10</v>
      </c>
      <c r="B10" s="13" t="s">
        <v>131</v>
      </c>
      <c r="C10" s="12"/>
      <c r="D10" s="13">
        <f>14/D5</f>
        <v>0.0035</v>
      </c>
    </row>
    <row r="11" spans="1:4" ht="23.25">
      <c r="A11" s="12">
        <v>11</v>
      </c>
      <c r="B11" s="15" t="s">
        <v>132</v>
      </c>
      <c r="C11" s="12" t="s">
        <v>18</v>
      </c>
      <c r="D11" s="14">
        <v>18</v>
      </c>
    </row>
    <row r="12" spans="1:4" ht="23.25">
      <c r="A12" s="12">
        <v>12</v>
      </c>
      <c r="B12" s="15" t="s">
        <v>133</v>
      </c>
      <c r="C12" s="12" t="s">
        <v>18</v>
      </c>
      <c r="D12" s="14">
        <v>0.8</v>
      </c>
    </row>
    <row r="13" spans="1:4" ht="23.25">
      <c r="A13" s="12">
        <v>13</v>
      </c>
      <c r="B13" s="13" t="s">
        <v>134</v>
      </c>
      <c r="C13" s="12" t="s">
        <v>18</v>
      </c>
      <c r="D13" s="13">
        <f>D11-D12</f>
        <v>17.2</v>
      </c>
    </row>
    <row r="14" spans="1:4" ht="23.25">
      <c r="A14" s="12">
        <v>14</v>
      </c>
      <c r="B14" s="15" t="s">
        <v>142</v>
      </c>
      <c r="C14" s="12" t="s">
        <v>20</v>
      </c>
      <c r="D14" s="14">
        <v>5500</v>
      </c>
    </row>
    <row r="15" spans="1:4" ht="23.25">
      <c r="A15" s="12">
        <v>15</v>
      </c>
      <c r="B15" s="15" t="s">
        <v>135</v>
      </c>
      <c r="C15" s="12"/>
      <c r="D15" s="14">
        <v>1</v>
      </c>
    </row>
    <row r="16" spans="1:4" ht="23.25">
      <c r="A16" s="12">
        <v>16</v>
      </c>
      <c r="B16" s="15" t="s">
        <v>136</v>
      </c>
      <c r="C16" s="12" t="s">
        <v>18</v>
      </c>
      <c r="D16" s="13">
        <v>0.8</v>
      </c>
    </row>
    <row r="17" spans="1:4" ht="23.25">
      <c r="A17" s="12">
        <v>17</v>
      </c>
      <c r="B17" s="15" t="s">
        <v>137</v>
      </c>
      <c r="C17" s="12" t="s">
        <v>18</v>
      </c>
      <c r="D17" s="13">
        <v>5</v>
      </c>
    </row>
    <row r="18" spans="1:4" ht="23.25">
      <c r="A18" s="12">
        <v>18</v>
      </c>
      <c r="B18" s="13" t="s">
        <v>138</v>
      </c>
      <c r="C18" s="12" t="s">
        <v>18</v>
      </c>
      <c r="D18" s="13">
        <f>0.95*D17</f>
        <v>4.75</v>
      </c>
    </row>
    <row r="19" spans="1:4" ht="23.25">
      <c r="A19" s="12">
        <v>19</v>
      </c>
      <c r="B19" s="15" t="s">
        <v>139</v>
      </c>
      <c r="C19" s="12" t="s">
        <v>18</v>
      </c>
      <c r="D19" s="14">
        <v>4.85</v>
      </c>
    </row>
    <row r="20" spans="1:4" ht="23.25">
      <c r="A20" s="12">
        <v>20</v>
      </c>
      <c r="B20" s="15" t="s">
        <v>140</v>
      </c>
      <c r="C20" s="12" t="s">
        <v>54</v>
      </c>
      <c r="D20" s="14">
        <v>500000</v>
      </c>
    </row>
    <row r="21" spans="1:4" ht="23.25">
      <c r="A21" s="12">
        <v>21</v>
      </c>
      <c r="B21" s="13" t="s">
        <v>141</v>
      </c>
      <c r="C21" s="12" t="s">
        <v>20</v>
      </c>
      <c r="D21" s="13">
        <f>2400*D16*D17</f>
        <v>9600</v>
      </c>
    </row>
    <row r="22" spans="1:4" ht="23.25">
      <c r="A22" s="12">
        <v>22</v>
      </c>
      <c r="B22" s="13" t="s">
        <v>143</v>
      </c>
      <c r="C22" s="12" t="s">
        <v>20</v>
      </c>
      <c r="D22" s="13">
        <f>D14+1.4*D21</f>
        <v>18940</v>
      </c>
    </row>
    <row r="23" spans="1:4" ht="23.25">
      <c r="A23" s="12">
        <v>23</v>
      </c>
      <c r="B23" s="13" t="s">
        <v>144</v>
      </c>
      <c r="C23" s="12" t="s">
        <v>54</v>
      </c>
      <c r="D23" s="13">
        <f>IF(D15=1,D22*D11/2+D20/2,IF(D15=2,D22*D11/2+D20,D22*D11/2))</f>
        <v>420460</v>
      </c>
    </row>
    <row r="24" spans="1:4" ht="23.25">
      <c r="A24" s="12">
        <v>24</v>
      </c>
      <c r="B24" s="14" t="s">
        <v>145</v>
      </c>
      <c r="C24" s="12"/>
      <c r="D24" s="13"/>
    </row>
    <row r="25" spans="1:4" ht="23.25">
      <c r="A25" s="12">
        <v>25</v>
      </c>
      <c r="B25" s="13" t="s">
        <v>146</v>
      </c>
      <c r="C25" s="12" t="s">
        <v>18</v>
      </c>
      <c r="D25" s="13">
        <f>D11/2</f>
        <v>9</v>
      </c>
    </row>
    <row r="26" spans="1:4" ht="23.25">
      <c r="A26" s="12">
        <v>26</v>
      </c>
      <c r="B26" s="13" t="s">
        <v>147</v>
      </c>
      <c r="C26" s="12" t="s">
        <v>18</v>
      </c>
      <c r="D26" s="13">
        <f>D11/3</f>
        <v>6</v>
      </c>
    </row>
    <row r="27" spans="1:4" ht="23.25">
      <c r="A27" s="12">
        <v>27</v>
      </c>
      <c r="B27" s="13" t="s">
        <v>148</v>
      </c>
      <c r="C27" s="12"/>
      <c r="D27" s="13">
        <f>IF(D15=1,D25/D19,IF(D15=2,D26/D19,0))</f>
        <v>1.8556701030927836</v>
      </c>
    </row>
    <row r="28" spans="1:4" ht="23.25">
      <c r="A28" s="12">
        <v>28</v>
      </c>
      <c r="B28" s="13" t="s">
        <v>183</v>
      </c>
      <c r="C28" s="12"/>
      <c r="D28" s="13">
        <f>D13/D19</f>
        <v>3.54639175257732</v>
      </c>
    </row>
    <row r="29" spans="1:4" ht="23.25">
      <c r="A29" s="12">
        <v>29</v>
      </c>
      <c r="B29" s="14" t="s">
        <v>149</v>
      </c>
      <c r="C29" s="12"/>
      <c r="D29" s="13"/>
    </row>
    <row r="30" spans="1:4" ht="23.25">
      <c r="A30" s="12">
        <v>30</v>
      </c>
      <c r="B30" s="13" t="s">
        <v>150</v>
      </c>
      <c r="C30" s="12" t="s">
        <v>52</v>
      </c>
      <c r="D30" s="13">
        <f>D22*D11^2/8+D20*D11/4</f>
        <v>3017070</v>
      </c>
    </row>
    <row r="31" spans="1:4" ht="23.25">
      <c r="A31" s="12">
        <v>31</v>
      </c>
      <c r="B31" s="13" t="s">
        <v>151</v>
      </c>
      <c r="C31" s="12" t="s">
        <v>52</v>
      </c>
      <c r="D31" s="13">
        <f>D22*D11^2/8+D20*D26</f>
        <v>3767070</v>
      </c>
    </row>
    <row r="32" spans="1:4" ht="23.25">
      <c r="A32" s="12">
        <v>32</v>
      </c>
      <c r="B32" s="13" t="s">
        <v>152</v>
      </c>
      <c r="C32" s="12" t="s">
        <v>52</v>
      </c>
      <c r="D32" s="13">
        <f>D22*D11^2/8</f>
        <v>767070</v>
      </c>
    </row>
    <row r="33" spans="1:4" ht="23.25">
      <c r="A33" s="12">
        <v>33</v>
      </c>
      <c r="B33" s="13" t="s">
        <v>153</v>
      </c>
      <c r="C33" s="12" t="s">
        <v>65</v>
      </c>
      <c r="D33" s="13">
        <f>IF(D15=1,D30*100,IF(D15=2,D31*100,D32*100))</f>
        <v>301707000</v>
      </c>
    </row>
    <row r="34" spans="1:4" ht="23.25">
      <c r="A34" s="12">
        <v>34</v>
      </c>
      <c r="B34" s="13" t="s">
        <v>156</v>
      </c>
      <c r="C34" s="12" t="s">
        <v>9</v>
      </c>
      <c r="D34" s="13">
        <f>D33/0.85/(D16*100)/(D19*100)^2</f>
        <v>18.862228279557126</v>
      </c>
    </row>
    <row r="35" spans="1:4" ht="23.25">
      <c r="A35" s="12">
        <v>35</v>
      </c>
      <c r="B35" s="13" t="s">
        <v>154</v>
      </c>
      <c r="C35" s="12"/>
      <c r="D35" s="13">
        <f>0.85*D4/D5*(1-SQRT(1-2*D34/0.85/D4))</f>
        <v>0.004891488383142346</v>
      </c>
    </row>
    <row r="36" spans="1:4" ht="23.25">
      <c r="A36" s="12">
        <v>36</v>
      </c>
      <c r="B36" s="13" t="s">
        <v>155</v>
      </c>
      <c r="C36" s="12"/>
      <c r="D36" s="13">
        <f>IF(D35&gt;D9,3,IF(D35&lt;D10,2,1))</f>
        <v>1</v>
      </c>
    </row>
    <row r="37" spans="1:4" ht="23.25">
      <c r="A37" s="12">
        <v>37</v>
      </c>
      <c r="B37" s="15" t="s">
        <v>157</v>
      </c>
      <c r="C37" s="12"/>
      <c r="D37" s="15">
        <f>IF(D36=3,2,1)</f>
        <v>1</v>
      </c>
    </row>
    <row r="38" spans="1:4" ht="23.25">
      <c r="A38" s="12">
        <v>38</v>
      </c>
      <c r="B38" s="13" t="s">
        <v>158</v>
      </c>
      <c r="C38" s="12"/>
      <c r="D38" s="13">
        <f>IF(D36=2,D10,D35)</f>
        <v>0.004891488383142346</v>
      </c>
    </row>
    <row r="39" spans="1:4" ht="23.25">
      <c r="A39" s="12">
        <v>39</v>
      </c>
      <c r="B39" s="13" t="s">
        <v>159</v>
      </c>
      <c r="C39" s="12" t="s">
        <v>160</v>
      </c>
      <c r="D39" s="22">
        <f>D38*D16*D19*10000</f>
        <v>189.789749265923</v>
      </c>
    </row>
    <row r="40" spans="1:4" ht="23.25">
      <c r="A40" s="12">
        <v>40</v>
      </c>
      <c r="B40" s="13" t="s">
        <v>161</v>
      </c>
      <c r="C40" s="12" t="s">
        <v>60</v>
      </c>
      <c r="D40" s="13">
        <f>1+INT(D39/6.157)</f>
        <v>31</v>
      </c>
    </row>
    <row r="41" spans="1:4" ht="23.25">
      <c r="A41" s="12">
        <v>41</v>
      </c>
      <c r="B41" s="13" t="s">
        <v>162</v>
      </c>
      <c r="C41" s="12" t="s">
        <v>60</v>
      </c>
      <c r="D41" s="13">
        <f>1+INT(D39/4.909)</f>
        <v>39</v>
      </c>
    </row>
    <row r="42" spans="1:4" ht="23.25">
      <c r="A42" s="12">
        <v>42</v>
      </c>
      <c r="B42" s="15" t="s">
        <v>163</v>
      </c>
      <c r="C42" s="12"/>
      <c r="D42" s="14">
        <v>2</v>
      </c>
    </row>
    <row r="43" spans="1:4" ht="23.25">
      <c r="A43" s="12">
        <v>43</v>
      </c>
      <c r="B43" s="15" t="s">
        <v>164</v>
      </c>
      <c r="C43" s="12" t="s">
        <v>60</v>
      </c>
      <c r="D43" s="14">
        <v>39</v>
      </c>
    </row>
    <row r="44" spans="1:4" ht="23.25">
      <c r="A44" s="12">
        <v>44</v>
      </c>
      <c r="B44" s="13" t="s">
        <v>165</v>
      </c>
      <c r="C44" s="12" t="s">
        <v>160</v>
      </c>
      <c r="D44" s="13">
        <f>IF(D42=1,D43*6.157,D43*4.909)</f>
        <v>191.451</v>
      </c>
    </row>
    <row r="45" spans="1:4" ht="23.25">
      <c r="A45" s="12">
        <v>45</v>
      </c>
      <c r="B45" s="13" t="s">
        <v>166</v>
      </c>
      <c r="C45" s="12"/>
      <c r="D45" s="13">
        <f>D44/D16/D19/10000</f>
        <v>0.004934304123711339</v>
      </c>
    </row>
    <row r="46" spans="1:4" ht="23.25">
      <c r="A46" s="12">
        <v>46</v>
      </c>
      <c r="B46" s="14" t="s">
        <v>167</v>
      </c>
      <c r="C46" s="12"/>
      <c r="D46" s="13"/>
    </row>
    <row r="47" spans="1:4" ht="23.25">
      <c r="A47" s="12">
        <v>47</v>
      </c>
      <c r="B47" s="14" t="s">
        <v>168</v>
      </c>
      <c r="C47" s="12"/>
      <c r="D47" s="13"/>
    </row>
    <row r="48" spans="1:4" ht="23.25">
      <c r="A48" s="12">
        <v>48</v>
      </c>
      <c r="B48" s="13" t="s">
        <v>169</v>
      </c>
      <c r="C48" s="12" t="s">
        <v>18</v>
      </c>
      <c r="D48" s="13">
        <f>IF(D15=1,0.5*D25,0.5*D26)</f>
        <v>4.5</v>
      </c>
    </row>
    <row r="49" spans="1:4" ht="23.25">
      <c r="A49" s="12">
        <v>49</v>
      </c>
      <c r="B49" s="13" t="s">
        <v>170</v>
      </c>
      <c r="C49" s="12" t="s">
        <v>18</v>
      </c>
      <c r="D49" s="13">
        <f>0.15*D13</f>
        <v>2.5799999999999996</v>
      </c>
    </row>
    <row r="50" spans="1:4" ht="23.25">
      <c r="A50" s="12">
        <v>50</v>
      </c>
      <c r="B50" s="13" t="s">
        <v>171</v>
      </c>
      <c r="C50" s="12" t="s">
        <v>18</v>
      </c>
      <c r="D50" s="13">
        <f>IF(D15=3,D49,D48)</f>
        <v>4.5</v>
      </c>
    </row>
    <row r="51" spans="1:4" ht="23.25">
      <c r="A51" s="12">
        <v>51</v>
      </c>
      <c r="B51" s="13" t="s">
        <v>172</v>
      </c>
      <c r="C51" s="12" t="s">
        <v>18</v>
      </c>
      <c r="D51" s="13">
        <f>D19</f>
        <v>4.85</v>
      </c>
    </row>
    <row r="52" spans="1:4" ht="23.25">
      <c r="A52" s="12">
        <v>52</v>
      </c>
      <c r="B52" s="13" t="s">
        <v>173</v>
      </c>
      <c r="C52" s="12" t="s">
        <v>18</v>
      </c>
      <c r="D52" s="13">
        <f>IF(D50&gt;D51,D51,D50)</f>
        <v>4.5</v>
      </c>
    </row>
    <row r="53" spans="1:4" ht="23.25">
      <c r="A53" s="12">
        <v>53</v>
      </c>
      <c r="B53" s="13" t="s">
        <v>174</v>
      </c>
      <c r="C53" s="12" t="s">
        <v>18</v>
      </c>
      <c r="D53" s="13">
        <f>D52+D12/2</f>
        <v>4.9</v>
      </c>
    </row>
    <row r="54" spans="1:4" ht="23.25">
      <c r="A54" s="12">
        <v>54</v>
      </c>
      <c r="B54" s="13" t="s">
        <v>175</v>
      </c>
      <c r="C54" s="12" t="s">
        <v>54</v>
      </c>
      <c r="D54" s="13">
        <f>D23</f>
        <v>420460</v>
      </c>
    </row>
    <row r="55" spans="1:4" ht="23.25">
      <c r="A55" s="12">
        <v>55</v>
      </c>
      <c r="B55" s="13" t="s">
        <v>176</v>
      </c>
      <c r="C55" s="12" t="s">
        <v>54</v>
      </c>
      <c r="D55" s="13">
        <f>D54-D22*D53</f>
        <v>327654</v>
      </c>
    </row>
    <row r="56" spans="1:4" ht="23.25">
      <c r="A56" s="12">
        <v>56</v>
      </c>
      <c r="B56" s="13" t="s">
        <v>177</v>
      </c>
      <c r="C56" s="12" t="s">
        <v>65</v>
      </c>
      <c r="D56" s="13">
        <f>(D54+D55)*D53/2*100</f>
        <v>183287930</v>
      </c>
    </row>
    <row r="57" spans="1:4" ht="23.25">
      <c r="A57" s="12">
        <v>57</v>
      </c>
      <c r="B57" s="14" t="s">
        <v>178</v>
      </c>
      <c r="C57" s="12"/>
      <c r="D57" s="13"/>
    </row>
    <row r="58" spans="1:4" ht="23.25">
      <c r="A58" s="12">
        <v>58</v>
      </c>
      <c r="B58" s="13" t="s">
        <v>179</v>
      </c>
      <c r="C58" s="12"/>
      <c r="D58" s="13"/>
    </row>
    <row r="59" spans="1:4" ht="23.25">
      <c r="A59" s="12">
        <v>59</v>
      </c>
      <c r="B59" s="13" t="s">
        <v>180</v>
      </c>
      <c r="C59" s="12" t="s">
        <v>54</v>
      </c>
      <c r="D59" s="40">
        <f>2.1*0.85*SQRT(D4)*D16*D19*1000</f>
        <v>123892.47678854436</v>
      </c>
    </row>
    <row r="60" spans="1:4" ht="23.25">
      <c r="A60" s="12">
        <v>60</v>
      </c>
      <c r="B60" s="13" t="s">
        <v>181</v>
      </c>
      <c r="C60" s="12" t="s">
        <v>54</v>
      </c>
      <c r="D60" s="40">
        <f>0.18*0.85*(10+D28)*SQRT(D4)*D16*D19*10000</f>
        <v>1438539.4506640406</v>
      </c>
    </row>
    <row r="61" spans="1:4" ht="23.25">
      <c r="A61" s="12">
        <v>61</v>
      </c>
      <c r="B61" s="13" t="s">
        <v>182</v>
      </c>
      <c r="C61" s="12" t="s">
        <v>54</v>
      </c>
      <c r="D61" s="40">
        <f>IF(D28&lt;2,D59,D60)</f>
        <v>1438539.4506640406</v>
      </c>
    </row>
    <row r="62" spans="1:4" ht="23.25">
      <c r="A62" s="12">
        <v>62</v>
      </c>
      <c r="B62" s="14" t="s">
        <v>184</v>
      </c>
      <c r="C62" s="12"/>
      <c r="D62" s="14">
        <f>IF(D55&lt;D61,1,2)</f>
        <v>1</v>
      </c>
    </row>
    <row r="63" spans="1:4" ht="23.25">
      <c r="A63" s="12">
        <v>63</v>
      </c>
      <c r="B63" s="13" t="s">
        <v>185</v>
      </c>
      <c r="C63" s="12"/>
      <c r="D63" s="13"/>
    </row>
    <row r="64" spans="1:4" ht="23.25">
      <c r="A64" s="12">
        <v>64</v>
      </c>
      <c r="B64" s="13" t="s">
        <v>186</v>
      </c>
      <c r="C64" s="12"/>
      <c r="D64" s="13"/>
    </row>
    <row r="65" spans="1:4" ht="23.25">
      <c r="A65" s="12">
        <v>65</v>
      </c>
      <c r="B65" s="13" t="s">
        <v>187</v>
      </c>
      <c r="C65" s="12"/>
      <c r="D65" s="13"/>
    </row>
    <row r="66" spans="1:4" ht="23.25">
      <c r="A66" s="12">
        <v>66</v>
      </c>
      <c r="B66" s="13" t="s">
        <v>188</v>
      </c>
      <c r="C66" s="12"/>
      <c r="D66" s="13">
        <f>D45</f>
        <v>0.004934304123711339</v>
      </c>
    </row>
    <row r="67" spans="1:4" ht="23.25">
      <c r="A67" s="12">
        <v>67</v>
      </c>
      <c r="B67" s="13" t="s">
        <v>189</v>
      </c>
      <c r="C67" s="12"/>
      <c r="D67" s="13">
        <f>D56/D55/D51/100</f>
        <v>1.1533912533708084</v>
      </c>
    </row>
    <row r="68" spans="1:4" ht="23.25">
      <c r="A68" s="12">
        <v>68</v>
      </c>
      <c r="B68" s="13" t="s">
        <v>190</v>
      </c>
      <c r="C68" s="12"/>
      <c r="D68" s="13">
        <f>D66/D67</f>
        <v>0.004278083529150008</v>
      </c>
    </row>
    <row r="69" spans="1:4" ht="23.25">
      <c r="A69" s="12">
        <v>69</v>
      </c>
      <c r="B69" s="13" t="s">
        <v>191</v>
      </c>
      <c r="C69" s="12"/>
      <c r="D69" s="13">
        <f>3.5-2.5*D67</f>
        <v>0.6165218665729792</v>
      </c>
    </row>
    <row r="70" spans="1:4" ht="23.25">
      <c r="A70" s="12">
        <v>70</v>
      </c>
      <c r="B70" s="13" t="s">
        <v>192</v>
      </c>
      <c r="C70" s="12"/>
      <c r="D70" s="13">
        <f>IF(D69&gt;2.5,2.5,D69)</f>
        <v>0.6165218665729792</v>
      </c>
    </row>
    <row r="71" spans="1:4" ht="23.25">
      <c r="A71" s="12">
        <v>71</v>
      </c>
      <c r="B71" s="13" t="s">
        <v>193</v>
      </c>
      <c r="C71" s="12" t="s">
        <v>54</v>
      </c>
      <c r="D71" s="40">
        <f>0.85*D70*(0.5*SQRT(D4)+176*D68)*D16*D19*10000</f>
        <v>197172.4092391557</v>
      </c>
    </row>
    <row r="72" spans="1:4" ht="23.25">
      <c r="A72" s="12">
        <v>72</v>
      </c>
      <c r="B72" s="13" t="s">
        <v>194</v>
      </c>
      <c r="C72" s="12" t="s">
        <v>54</v>
      </c>
      <c r="D72" s="40">
        <f>1.6*0.85*SQRT(D4)*D16*D19*10000</f>
        <v>943942.6802936714</v>
      </c>
    </row>
    <row r="73" spans="1:4" ht="23.25">
      <c r="A73" s="12">
        <v>73</v>
      </c>
      <c r="B73" s="13" t="s">
        <v>195</v>
      </c>
      <c r="C73" s="12" t="s">
        <v>54</v>
      </c>
      <c r="D73" s="40">
        <f>IF(D71&lt;D72,D71,D72)</f>
        <v>197172.4092391557</v>
      </c>
    </row>
    <row r="74" spans="1:4" ht="23.25">
      <c r="A74" s="12">
        <v>74</v>
      </c>
      <c r="B74" s="13" t="s">
        <v>196</v>
      </c>
      <c r="C74" s="12" t="s">
        <v>54</v>
      </c>
      <c r="D74" s="40">
        <f>0.53*0.85*SQRT(D4)*D16*D19*10000</f>
        <v>312681.0128472786</v>
      </c>
    </row>
    <row r="75" spans="1:4" ht="23.25">
      <c r="A75" s="12">
        <v>75</v>
      </c>
      <c r="B75" s="14" t="s">
        <v>197</v>
      </c>
      <c r="C75" s="12"/>
      <c r="D75" s="13"/>
    </row>
    <row r="76" spans="1:4" ht="23.25">
      <c r="A76" s="12">
        <v>76</v>
      </c>
      <c r="B76" s="13" t="s">
        <v>199</v>
      </c>
      <c r="C76" s="12"/>
      <c r="D76" s="13"/>
    </row>
    <row r="77" spans="1:4" ht="23.25">
      <c r="A77" s="12">
        <v>77</v>
      </c>
      <c r="B77" s="13" t="s">
        <v>198</v>
      </c>
      <c r="C77" s="12" t="s">
        <v>54</v>
      </c>
      <c r="D77" s="40">
        <f>D55-D73</f>
        <v>130481.5907608443</v>
      </c>
    </row>
    <row r="78" spans="1:4" ht="23.25">
      <c r="A78" s="12">
        <v>78</v>
      </c>
      <c r="B78" s="13" t="s">
        <v>200</v>
      </c>
      <c r="C78" s="12"/>
      <c r="D78" s="13">
        <f>(1+D28)/12</f>
        <v>0.3788659793814433</v>
      </c>
    </row>
    <row r="79" spans="1:4" ht="23.25">
      <c r="A79" s="12">
        <v>79</v>
      </c>
      <c r="B79" s="13" t="s">
        <v>201</v>
      </c>
      <c r="C79" s="12"/>
      <c r="D79" s="13">
        <f>(11-D28)/12</f>
        <v>0.6211340206185567</v>
      </c>
    </row>
    <row r="80" spans="1:4" ht="23.25">
      <c r="A80" s="12">
        <v>80</v>
      </c>
      <c r="B80" s="13" t="s">
        <v>202</v>
      </c>
      <c r="C80" s="12"/>
      <c r="D80" s="13">
        <f>D77/0.85/D5/D19/100</f>
        <v>0.07912770816303476</v>
      </c>
    </row>
    <row r="81" spans="1:4" ht="23.25">
      <c r="A81" s="12">
        <v>81</v>
      </c>
      <c r="B81" s="13" t="s">
        <v>203</v>
      </c>
      <c r="C81" s="12"/>
      <c r="D81" s="13"/>
    </row>
    <row r="82" spans="1:4" ht="23.25">
      <c r="A82" s="12">
        <v>82</v>
      </c>
      <c r="B82" s="13" t="s">
        <v>204</v>
      </c>
      <c r="C82" s="12"/>
      <c r="D82" s="13"/>
    </row>
    <row r="83" spans="1:4" ht="23.25">
      <c r="A83" s="12">
        <v>83</v>
      </c>
      <c r="B83" s="13" t="s">
        <v>205</v>
      </c>
      <c r="C83" s="12"/>
      <c r="D83" s="13"/>
    </row>
    <row r="84" spans="1:4" ht="23.25">
      <c r="A84" s="12">
        <v>84</v>
      </c>
      <c r="B84" s="13" t="s">
        <v>206</v>
      </c>
      <c r="C84" s="12"/>
      <c r="D84" s="13"/>
    </row>
    <row r="85" spans="1:4" ht="23.25">
      <c r="A85" s="12">
        <v>85</v>
      </c>
      <c r="B85" s="15" t="s">
        <v>207</v>
      </c>
      <c r="C85" s="12"/>
      <c r="D85" s="14">
        <v>2</v>
      </c>
    </row>
    <row r="86" spans="1:4" ht="23.25">
      <c r="A86" s="12">
        <v>86</v>
      </c>
      <c r="B86" s="13" t="s">
        <v>208</v>
      </c>
      <c r="C86" s="12" t="s">
        <v>160</v>
      </c>
      <c r="D86" s="13">
        <f>IF(D85=1,2.262,IF(D85=2,4.02,IF(D85=3,6.28,IF(D85=4,9.818,"Error!"))))</f>
        <v>4.02</v>
      </c>
    </row>
    <row r="87" spans="1:4" ht="23.25">
      <c r="A87" s="12">
        <v>87</v>
      </c>
      <c r="B87" s="13" t="s">
        <v>209</v>
      </c>
      <c r="C87" s="12" t="s">
        <v>32</v>
      </c>
      <c r="D87" s="13">
        <f>D86/0.0015/D16/100</f>
        <v>33.49999999999999</v>
      </c>
    </row>
    <row r="88" spans="1:4" ht="23.25">
      <c r="A88" s="12">
        <v>88</v>
      </c>
      <c r="B88" s="13" t="s">
        <v>210</v>
      </c>
      <c r="C88" s="12" t="s">
        <v>32</v>
      </c>
      <c r="D88" s="13">
        <f>100*D19/5</f>
        <v>96.99999999999999</v>
      </c>
    </row>
    <row r="89" spans="1:4" ht="23.25">
      <c r="A89" s="12">
        <v>89</v>
      </c>
      <c r="B89" s="13" t="s">
        <v>211</v>
      </c>
      <c r="C89" s="12" t="s">
        <v>32</v>
      </c>
      <c r="D89" s="13">
        <v>45</v>
      </c>
    </row>
    <row r="90" spans="1:4" ht="23.25">
      <c r="A90" s="12">
        <v>90</v>
      </c>
      <c r="B90" s="15" t="s">
        <v>212</v>
      </c>
      <c r="C90" s="12" t="s">
        <v>32</v>
      </c>
      <c r="D90" s="14">
        <v>30</v>
      </c>
    </row>
    <row r="91" spans="1:4" ht="23.25">
      <c r="A91" s="12">
        <v>91</v>
      </c>
      <c r="B91" s="13" t="s">
        <v>213</v>
      </c>
      <c r="C91" s="12"/>
      <c r="D91" s="13">
        <f>D80-D78*D86/D90</f>
        <v>0.02835966692592136</v>
      </c>
    </row>
    <row r="92" spans="1:4" ht="23.25">
      <c r="A92" s="12">
        <v>92</v>
      </c>
      <c r="B92" s="13" t="s">
        <v>214</v>
      </c>
      <c r="C92" s="12"/>
      <c r="D92" s="13"/>
    </row>
    <row r="93" spans="1:4" ht="23.25">
      <c r="A93" s="12">
        <v>93</v>
      </c>
      <c r="B93" s="13" t="s">
        <v>215</v>
      </c>
      <c r="C93" s="12"/>
      <c r="D93" s="13"/>
    </row>
    <row r="94" spans="1:4" ht="23.25">
      <c r="A94" s="12">
        <v>94</v>
      </c>
      <c r="B94" s="13" t="s">
        <v>216</v>
      </c>
      <c r="C94" s="12"/>
      <c r="D94" s="13"/>
    </row>
    <row r="95" spans="1:4" ht="23.25">
      <c r="A95" s="12">
        <v>95</v>
      </c>
      <c r="B95" s="13" t="s">
        <v>217</v>
      </c>
      <c r="C95" s="12"/>
      <c r="D95" s="13"/>
    </row>
    <row r="96" spans="1:4" ht="23.25">
      <c r="A96" s="12">
        <v>96</v>
      </c>
      <c r="B96" s="15" t="s">
        <v>207</v>
      </c>
      <c r="C96" s="12"/>
      <c r="D96" s="14">
        <v>2</v>
      </c>
    </row>
    <row r="97" spans="1:4" ht="23.25">
      <c r="A97" s="12">
        <v>97</v>
      </c>
      <c r="B97" s="13" t="s">
        <v>218</v>
      </c>
      <c r="C97" s="12" t="s">
        <v>160</v>
      </c>
      <c r="D97" s="13">
        <f>IF(D96=1,2.262,IF(D96=2,4.02,IF(D96=3,6.28,IF(D96=4,9.818,"Error!"))))</f>
        <v>4.02</v>
      </c>
    </row>
    <row r="98" spans="1:4" ht="23.25">
      <c r="A98" s="12">
        <v>98</v>
      </c>
      <c r="B98" s="13" t="s">
        <v>219</v>
      </c>
      <c r="C98" s="12" t="s">
        <v>32</v>
      </c>
      <c r="D98" s="40">
        <f>D97/D91</f>
        <v>141.7506069623699</v>
      </c>
    </row>
    <row r="99" spans="1:4" ht="23.25">
      <c r="A99" s="12">
        <v>99</v>
      </c>
      <c r="B99" s="13" t="s">
        <v>222</v>
      </c>
      <c r="C99" s="12" t="s">
        <v>32</v>
      </c>
      <c r="D99" s="40">
        <f>D97/0.0025/D16/100</f>
        <v>20.099999999999994</v>
      </c>
    </row>
    <row r="100" spans="1:4" ht="23.25">
      <c r="A100" s="12">
        <v>100</v>
      </c>
      <c r="B100" s="13" t="s">
        <v>221</v>
      </c>
      <c r="C100" s="12" t="s">
        <v>32</v>
      </c>
      <c r="D100" s="40">
        <f>D19/3*100</f>
        <v>161.66666666666666</v>
      </c>
    </row>
    <row r="101" spans="1:4" ht="23.25">
      <c r="A101" s="12">
        <v>101</v>
      </c>
      <c r="B101" s="13" t="s">
        <v>220</v>
      </c>
      <c r="C101" s="12" t="s">
        <v>32</v>
      </c>
      <c r="D101" s="13">
        <v>45</v>
      </c>
    </row>
    <row r="102" spans="1:4" ht="23.25">
      <c r="A102" s="12">
        <v>102</v>
      </c>
      <c r="B102" s="13" t="s">
        <v>223</v>
      </c>
      <c r="C102" s="12" t="s">
        <v>32</v>
      </c>
      <c r="D102" s="13">
        <v>20</v>
      </c>
    </row>
    <row r="103" spans="1:4" ht="23.25">
      <c r="A103" s="12">
        <v>103</v>
      </c>
      <c r="B103" s="14" t="s">
        <v>224</v>
      </c>
      <c r="C103" s="12"/>
      <c r="D103" s="13"/>
    </row>
    <row r="104" spans="1:4" ht="23.25">
      <c r="A104" s="16"/>
      <c r="B104" s="17"/>
      <c r="C104" s="16"/>
      <c r="D104" s="17"/>
    </row>
    <row r="105" spans="1:4" ht="23.25">
      <c r="A105" s="16"/>
      <c r="B105" s="17"/>
      <c r="C105" s="16"/>
      <c r="D105" s="17"/>
    </row>
    <row r="106" spans="1:4" ht="23.25">
      <c r="A106" s="16"/>
      <c r="B106" s="17"/>
      <c r="C106" s="16"/>
      <c r="D106" s="17"/>
    </row>
    <row r="107" spans="1:4" ht="23.25">
      <c r="A107" s="16"/>
      <c r="B107" s="17"/>
      <c r="C107" s="16"/>
      <c r="D107" s="17"/>
    </row>
    <row r="108" spans="1:4" ht="23.25">
      <c r="A108" s="16"/>
      <c r="B108" s="17"/>
      <c r="C108" s="16"/>
      <c r="D108" s="17"/>
    </row>
    <row r="109" spans="1:4" ht="23.25">
      <c r="A109" s="16"/>
      <c r="B109" s="17"/>
      <c r="C109" s="16"/>
      <c r="D109" s="17"/>
    </row>
    <row r="110" spans="1:4" ht="23.25">
      <c r="A110" s="16"/>
      <c r="B110" s="17"/>
      <c r="C110" s="16"/>
      <c r="D110" s="17"/>
    </row>
    <row r="111" spans="1:4" ht="23.25">
      <c r="A111" s="16"/>
      <c r="B111" s="17"/>
      <c r="C111" s="16"/>
      <c r="D111" s="17"/>
    </row>
    <row r="112" spans="1:4" ht="23.25">
      <c r="A112" s="16"/>
      <c r="B112" s="17"/>
      <c r="C112" s="16"/>
      <c r="D112" s="17"/>
    </row>
    <row r="113" spans="1:4" ht="23.25">
      <c r="A113" s="16"/>
      <c r="B113" s="17"/>
      <c r="C113" s="16"/>
      <c r="D113" s="17"/>
    </row>
    <row r="114" spans="1:4" ht="23.25">
      <c r="A114" s="16"/>
      <c r="B114" s="17"/>
      <c r="C114" s="16"/>
      <c r="D114" s="17"/>
    </row>
    <row r="115" spans="1:4" ht="23.25">
      <c r="A115" s="16"/>
      <c r="B115" s="17"/>
      <c r="C115" s="16"/>
      <c r="D115" s="17"/>
    </row>
    <row r="116" spans="1:4" ht="23.25">
      <c r="A116" s="16"/>
      <c r="B116" s="17"/>
      <c r="C116" s="16"/>
      <c r="D116" s="17"/>
    </row>
    <row r="117" spans="1:4" ht="23.25">
      <c r="A117" s="16"/>
      <c r="B117" s="17"/>
      <c r="C117" s="16"/>
      <c r="D117" s="17"/>
    </row>
  </sheetData>
  <sheetProtection/>
  <printOptions/>
  <pageMargins left="0.75" right="0.44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B109" sqref="B109"/>
    </sheetView>
  </sheetViews>
  <sheetFormatPr defaultColWidth="9.140625" defaultRowHeight="12.75"/>
  <cols>
    <col min="1" max="1" width="6.57421875" style="10" customWidth="1"/>
    <col min="2" max="2" width="54.7109375" style="11" customWidth="1"/>
    <col min="3" max="3" width="9.140625" style="10" customWidth="1"/>
    <col min="4" max="4" width="14.57421875" style="11" customWidth="1"/>
    <col min="5" max="16384" width="9.140625" style="11" customWidth="1"/>
  </cols>
  <sheetData>
    <row r="1" spans="1:4" ht="23.25">
      <c r="A1" s="10" t="s">
        <v>0</v>
      </c>
      <c r="B1" s="10" t="s">
        <v>392</v>
      </c>
      <c r="C1" s="10" t="s">
        <v>1</v>
      </c>
      <c r="D1" s="10" t="s">
        <v>2</v>
      </c>
    </row>
    <row r="2" spans="1:4" ht="23.25">
      <c r="A2" s="12" t="s">
        <v>3</v>
      </c>
      <c r="B2" s="12" t="s">
        <v>4</v>
      </c>
      <c r="C2" s="12" t="s">
        <v>5</v>
      </c>
      <c r="D2" s="12" t="s">
        <v>6</v>
      </c>
    </row>
    <row r="3" spans="1:4" ht="23.25">
      <c r="A3" s="12">
        <v>3</v>
      </c>
      <c r="B3" s="14" t="s">
        <v>7</v>
      </c>
      <c r="C3" s="12"/>
      <c r="D3" s="13"/>
    </row>
    <row r="4" spans="1:4" ht="23.25">
      <c r="A4" s="12">
        <v>4</v>
      </c>
      <c r="B4" s="13" t="s">
        <v>8</v>
      </c>
      <c r="C4" s="12" t="s">
        <v>9</v>
      </c>
      <c r="D4" s="14">
        <v>350</v>
      </c>
    </row>
    <row r="5" spans="1:4" ht="23.25">
      <c r="A5" s="12">
        <v>5</v>
      </c>
      <c r="B5" s="13" t="s">
        <v>285</v>
      </c>
      <c r="C5" s="12" t="s">
        <v>9</v>
      </c>
      <c r="D5" s="14">
        <v>3000</v>
      </c>
    </row>
    <row r="6" spans="1:4" ht="23.25">
      <c r="A6" s="12">
        <v>6</v>
      </c>
      <c r="B6" s="13" t="s">
        <v>286</v>
      </c>
      <c r="C6" s="12"/>
      <c r="D6" s="13">
        <f>IF(D4&lt;=280,0.85,IF(D4&gt;560,0.65,0.85-0.05*(D4-280)/70))</f>
        <v>0.7999999999999999</v>
      </c>
    </row>
    <row r="7" spans="1:4" ht="23.25">
      <c r="A7" s="12">
        <v>7</v>
      </c>
      <c r="B7" s="13" t="s">
        <v>287</v>
      </c>
      <c r="C7" s="12"/>
      <c r="D7" s="13">
        <f>D6*0.85*D4/D5*6120/(6120+D5)</f>
        <v>0.05323684210526315</v>
      </c>
    </row>
    <row r="8" spans="1:4" ht="23.25">
      <c r="A8" s="12">
        <v>8</v>
      </c>
      <c r="B8" s="13" t="s">
        <v>288</v>
      </c>
      <c r="C8" s="12"/>
      <c r="D8" s="13">
        <f>0.75*D7</f>
        <v>0.03992763157894737</v>
      </c>
    </row>
    <row r="9" spans="1:4" ht="23.25">
      <c r="A9" s="12">
        <v>9</v>
      </c>
      <c r="B9" s="14" t="s">
        <v>295</v>
      </c>
      <c r="C9" s="12"/>
      <c r="D9" s="13"/>
    </row>
    <row r="10" spans="1:4" ht="23.25">
      <c r="A10" s="12">
        <v>10</v>
      </c>
      <c r="B10" s="13" t="s">
        <v>289</v>
      </c>
      <c r="C10" s="12" t="s">
        <v>18</v>
      </c>
      <c r="D10" s="14">
        <v>4.5</v>
      </c>
    </row>
    <row r="11" spans="1:4" ht="23.25">
      <c r="A11" s="12">
        <v>11</v>
      </c>
      <c r="B11" s="13" t="s">
        <v>290</v>
      </c>
      <c r="C11" s="12" t="s">
        <v>18</v>
      </c>
      <c r="D11" s="14">
        <v>5</v>
      </c>
    </row>
    <row r="12" spans="1:4" ht="23.25">
      <c r="A12" s="12">
        <v>12</v>
      </c>
      <c r="B12" s="13" t="s">
        <v>291</v>
      </c>
      <c r="C12" s="12" t="s">
        <v>18</v>
      </c>
      <c r="D12" s="14">
        <v>0.25</v>
      </c>
    </row>
    <row r="13" spans="1:4" ht="23.25">
      <c r="A13" s="12">
        <v>13</v>
      </c>
      <c r="B13" s="13" t="s">
        <v>292</v>
      </c>
      <c r="C13" s="12" t="s">
        <v>293</v>
      </c>
      <c r="D13" s="14">
        <v>120</v>
      </c>
    </row>
    <row r="14" spans="1:4" ht="23.25">
      <c r="A14" s="12">
        <v>14</v>
      </c>
      <c r="B14" s="13" t="s">
        <v>294</v>
      </c>
      <c r="C14" s="12" t="s">
        <v>293</v>
      </c>
      <c r="D14" s="14">
        <v>300</v>
      </c>
    </row>
    <row r="15" spans="1:4" ht="23.25">
      <c r="A15" s="12">
        <v>15</v>
      </c>
      <c r="B15" s="14" t="s">
        <v>296</v>
      </c>
      <c r="C15" s="12"/>
      <c r="D15" s="13"/>
    </row>
    <row r="16" spans="1:4" ht="23.25">
      <c r="A16" s="12">
        <v>16</v>
      </c>
      <c r="B16" s="13" t="s">
        <v>297</v>
      </c>
      <c r="C16" s="12" t="s">
        <v>18</v>
      </c>
      <c r="D16" s="22">
        <f>(D10+D11)/90</f>
        <v>0.10555555555555556</v>
      </c>
    </row>
    <row r="17" spans="1:4" ht="23.25">
      <c r="A17" s="12">
        <v>17</v>
      </c>
      <c r="B17" s="13" t="s">
        <v>298</v>
      </c>
      <c r="C17" s="12" t="s">
        <v>18</v>
      </c>
      <c r="D17" s="14">
        <v>0.12</v>
      </c>
    </row>
    <row r="18" spans="1:4" ht="23.25">
      <c r="A18" s="12">
        <v>18</v>
      </c>
      <c r="B18" s="14" t="s">
        <v>299</v>
      </c>
      <c r="C18" s="12"/>
      <c r="D18" s="13"/>
    </row>
    <row r="19" spans="1:4" ht="23.25">
      <c r="A19" s="12">
        <v>19</v>
      </c>
      <c r="B19" s="13" t="s">
        <v>300</v>
      </c>
      <c r="C19" s="12" t="s">
        <v>18</v>
      </c>
      <c r="D19" s="13">
        <f>D10</f>
        <v>4.5</v>
      </c>
    </row>
    <row r="20" spans="1:4" ht="23.25">
      <c r="A20" s="12">
        <v>20</v>
      </c>
      <c r="B20" s="13" t="s">
        <v>301</v>
      </c>
      <c r="C20" s="12" t="s">
        <v>18</v>
      </c>
      <c r="D20" s="13">
        <f>D10-D12+2*D17</f>
        <v>4.49</v>
      </c>
    </row>
    <row r="21" spans="1:4" ht="23.25">
      <c r="A21" s="12">
        <v>21</v>
      </c>
      <c r="B21" s="13" t="s">
        <v>302</v>
      </c>
      <c r="C21" s="12" t="s">
        <v>18</v>
      </c>
      <c r="D21" s="13">
        <f>IF(D19&lt;D20,D19,D20)</f>
        <v>4.49</v>
      </c>
    </row>
    <row r="22" spans="1:4" ht="23.25">
      <c r="A22" s="12">
        <v>22</v>
      </c>
      <c r="B22" s="13" t="s">
        <v>303</v>
      </c>
      <c r="C22" s="12" t="s">
        <v>18</v>
      </c>
      <c r="D22" s="13">
        <f>D11</f>
        <v>5</v>
      </c>
    </row>
    <row r="23" spans="1:4" ht="23.25">
      <c r="A23" s="12">
        <v>23</v>
      </c>
      <c r="B23" s="13" t="s">
        <v>304</v>
      </c>
      <c r="C23" s="12" t="s">
        <v>18</v>
      </c>
      <c r="D23" s="13">
        <f>D11-D12+2*D17</f>
        <v>4.99</v>
      </c>
    </row>
    <row r="24" spans="1:4" ht="23.25">
      <c r="A24" s="12">
        <v>24</v>
      </c>
      <c r="B24" s="13" t="s">
        <v>305</v>
      </c>
      <c r="C24" s="12" t="s">
        <v>18</v>
      </c>
      <c r="D24" s="13">
        <f>IF(D22&lt;D23,D22,D23)</f>
        <v>4.99</v>
      </c>
    </row>
    <row r="25" spans="1:4" ht="23.25">
      <c r="A25" s="12">
        <v>25</v>
      </c>
      <c r="B25" s="13" t="s">
        <v>306</v>
      </c>
      <c r="C25" s="12"/>
      <c r="D25" s="48">
        <f>D21/D24</f>
        <v>0.8997995991983968</v>
      </c>
    </row>
    <row r="26" spans="1:4" ht="23.25">
      <c r="A26" s="12">
        <v>26</v>
      </c>
      <c r="B26" s="13" t="s">
        <v>307</v>
      </c>
      <c r="C26" s="12"/>
      <c r="D26" s="13"/>
    </row>
    <row r="27" spans="1:4" ht="23.25">
      <c r="A27" s="12">
        <v>27</v>
      </c>
      <c r="B27" s="13" t="s">
        <v>308</v>
      </c>
      <c r="C27" s="12"/>
      <c r="D27" s="13"/>
    </row>
    <row r="28" spans="1:4" ht="23.25">
      <c r="A28" s="12">
        <v>28</v>
      </c>
      <c r="B28" s="13" t="s">
        <v>309</v>
      </c>
      <c r="C28" s="12"/>
      <c r="D28" s="13"/>
    </row>
    <row r="29" spans="1:5" ht="23.25">
      <c r="A29" s="12">
        <v>29</v>
      </c>
      <c r="B29" s="13" t="s">
        <v>310</v>
      </c>
      <c r="C29" s="12"/>
      <c r="D29" s="14">
        <v>0.057</v>
      </c>
      <c r="E29" s="11">
        <f>IF(D29&gt;D30,D29,D30)</f>
        <v>0.057</v>
      </c>
    </row>
    <row r="30" spans="1:4" ht="23.25">
      <c r="A30" s="12">
        <v>30</v>
      </c>
      <c r="B30" s="13" t="s">
        <v>311</v>
      </c>
      <c r="C30" s="12"/>
      <c r="D30" s="14">
        <v>0.043</v>
      </c>
    </row>
    <row r="31" spans="1:4" ht="23.25">
      <c r="A31" s="12">
        <v>31</v>
      </c>
      <c r="B31" s="13" t="s">
        <v>312</v>
      </c>
      <c r="C31" s="12"/>
      <c r="D31" s="14">
        <v>0.028</v>
      </c>
    </row>
    <row r="32" spans="1:4" ht="23.25">
      <c r="A32" s="12">
        <v>32</v>
      </c>
      <c r="B32" s="13" t="s">
        <v>313</v>
      </c>
      <c r="C32" s="12"/>
      <c r="D32" s="13">
        <f>IF(E29&gt;D31,E29,D31)</f>
        <v>0.057</v>
      </c>
    </row>
    <row r="33" spans="1:5" ht="23.25">
      <c r="A33" s="12">
        <v>33</v>
      </c>
      <c r="B33" s="13" t="s">
        <v>314</v>
      </c>
      <c r="C33" s="12"/>
      <c r="D33" s="14">
        <v>0.025</v>
      </c>
      <c r="E33" s="11">
        <f>IF(D33&gt;D34,D33,D34)</f>
        <v>0.037</v>
      </c>
    </row>
    <row r="34" spans="1:4" ht="23.25">
      <c r="A34" s="12">
        <v>34</v>
      </c>
      <c r="B34" s="13" t="s">
        <v>315</v>
      </c>
      <c r="C34" s="12"/>
      <c r="D34" s="14">
        <v>0.037</v>
      </c>
    </row>
    <row r="35" spans="1:4" ht="23.25">
      <c r="A35" s="12">
        <v>35</v>
      </c>
      <c r="B35" s="13" t="s">
        <v>316</v>
      </c>
      <c r="C35" s="12"/>
      <c r="D35" s="14">
        <v>0.049</v>
      </c>
    </row>
    <row r="36" spans="1:4" ht="23.25">
      <c r="A36" s="12">
        <v>36</v>
      </c>
      <c r="B36" s="13" t="s">
        <v>317</v>
      </c>
      <c r="C36" s="12"/>
      <c r="D36" s="13">
        <f>IF(E33&gt;D35,E33,D35)</f>
        <v>0.049</v>
      </c>
    </row>
    <row r="37" spans="1:4" ht="23.25">
      <c r="A37" s="12">
        <v>37</v>
      </c>
      <c r="B37" s="14" t="s">
        <v>318</v>
      </c>
      <c r="C37" s="12"/>
      <c r="D37" s="13"/>
    </row>
    <row r="38" spans="1:4" ht="23.25">
      <c r="A38" s="12">
        <v>38</v>
      </c>
      <c r="B38" s="13" t="s">
        <v>319</v>
      </c>
      <c r="C38" s="12" t="s">
        <v>293</v>
      </c>
      <c r="D38" s="13">
        <f>2400*D17</f>
        <v>288</v>
      </c>
    </row>
    <row r="39" spans="1:4" ht="23.25">
      <c r="A39" s="12">
        <v>39</v>
      </c>
      <c r="B39" s="13" t="s">
        <v>321</v>
      </c>
      <c r="C39" s="12"/>
      <c r="D39" s="14">
        <v>1.7</v>
      </c>
    </row>
    <row r="40" spans="1:4" ht="23.25">
      <c r="A40" s="12">
        <v>40</v>
      </c>
      <c r="B40" s="13" t="s">
        <v>322</v>
      </c>
      <c r="C40" s="12"/>
      <c r="D40" s="14">
        <v>2</v>
      </c>
    </row>
    <row r="41" spans="1:4" ht="23.25">
      <c r="A41" s="12">
        <v>41</v>
      </c>
      <c r="B41" s="13" t="s">
        <v>320</v>
      </c>
      <c r="C41" s="12" t="s">
        <v>293</v>
      </c>
      <c r="D41" s="13">
        <f>D39*(D38+D13)+D40*D14</f>
        <v>1293.6</v>
      </c>
    </row>
    <row r="42" spans="1:4" ht="23.25">
      <c r="A42" s="12">
        <v>42</v>
      </c>
      <c r="B42" s="13" t="s">
        <v>323</v>
      </c>
      <c r="C42" s="12" t="s">
        <v>52</v>
      </c>
      <c r="D42" s="40">
        <f>D29*D41*D21^2</f>
        <v>1486.50900552</v>
      </c>
    </row>
    <row r="43" spans="1:4" ht="23.25">
      <c r="A43" s="12">
        <v>43</v>
      </c>
      <c r="B43" s="13" t="s">
        <v>324</v>
      </c>
      <c r="C43" s="12" t="s">
        <v>52</v>
      </c>
      <c r="D43" s="40">
        <f>D30*D41*D21^2</f>
        <v>1121.40153048</v>
      </c>
    </row>
    <row r="44" spans="1:4" ht="23.25">
      <c r="A44" s="12">
        <v>44</v>
      </c>
      <c r="B44" s="13" t="s">
        <v>325</v>
      </c>
      <c r="C44" s="12" t="s">
        <v>52</v>
      </c>
      <c r="D44" s="40">
        <f>D31*D41*D21^2</f>
        <v>730.2149500800001</v>
      </c>
    </row>
    <row r="45" spans="1:4" ht="23.25">
      <c r="A45" s="12">
        <v>45</v>
      </c>
      <c r="B45" s="13" t="s">
        <v>336</v>
      </c>
      <c r="C45" s="12" t="s">
        <v>52</v>
      </c>
      <c r="D45" s="40">
        <f>D32*D41*D21^2</f>
        <v>1486.50900552</v>
      </c>
    </row>
    <row r="46" spans="1:4" ht="23.25">
      <c r="A46" s="12">
        <v>46</v>
      </c>
      <c r="B46" s="13" t="s">
        <v>326</v>
      </c>
      <c r="C46" s="12" t="s">
        <v>52</v>
      </c>
      <c r="D46" s="40">
        <f>D33*D41*D21^2</f>
        <v>651.9776340000001</v>
      </c>
    </row>
    <row r="47" spans="1:4" ht="23.25">
      <c r="A47" s="12">
        <v>47</v>
      </c>
      <c r="B47" s="13" t="s">
        <v>327</v>
      </c>
      <c r="C47" s="12" t="s">
        <v>52</v>
      </c>
      <c r="D47" s="40">
        <f>D34*D41*D21^2</f>
        <v>964.92689832</v>
      </c>
    </row>
    <row r="48" spans="1:4" ht="23.25">
      <c r="A48" s="12">
        <v>48</v>
      </c>
      <c r="B48" s="13" t="s">
        <v>328</v>
      </c>
      <c r="C48" s="12" t="s">
        <v>52</v>
      </c>
      <c r="D48" s="40">
        <f>D35*D41*D21^2</f>
        <v>1277.87616264</v>
      </c>
    </row>
    <row r="49" spans="1:4" ht="23.25">
      <c r="A49" s="12">
        <v>49</v>
      </c>
      <c r="B49" s="25" t="s">
        <v>329</v>
      </c>
      <c r="C49" s="12" t="s">
        <v>52</v>
      </c>
      <c r="D49" s="40">
        <f>D36*D41*D21^2</f>
        <v>1277.87616264</v>
      </c>
    </row>
    <row r="50" spans="1:4" ht="23.25">
      <c r="A50" s="12">
        <v>50</v>
      </c>
      <c r="B50" s="14" t="s">
        <v>330</v>
      </c>
      <c r="C50" s="12"/>
      <c r="D50" s="13"/>
    </row>
    <row r="51" spans="1:4" ht="23.25">
      <c r="A51" s="12">
        <v>51</v>
      </c>
      <c r="B51" s="13" t="s">
        <v>333</v>
      </c>
      <c r="C51" s="12" t="s">
        <v>32</v>
      </c>
      <c r="D51" s="13">
        <v>2</v>
      </c>
    </row>
    <row r="52" spans="1:4" ht="23.25">
      <c r="A52" s="12">
        <v>52</v>
      </c>
      <c r="B52" s="13" t="s">
        <v>332</v>
      </c>
      <c r="C52" s="12" t="s">
        <v>34</v>
      </c>
      <c r="D52" s="13">
        <v>9</v>
      </c>
    </row>
    <row r="53" spans="1:4" ht="23.25">
      <c r="A53" s="12">
        <v>53</v>
      </c>
      <c r="B53" s="13" t="s">
        <v>331</v>
      </c>
      <c r="C53" s="12" t="s">
        <v>32</v>
      </c>
      <c r="D53" s="13">
        <f>100*D17-D51-D52/20</f>
        <v>9.55</v>
      </c>
    </row>
    <row r="54" spans="1:4" ht="23.25">
      <c r="A54" s="12">
        <v>54</v>
      </c>
      <c r="B54" s="13" t="s">
        <v>334</v>
      </c>
      <c r="C54" s="12" t="s">
        <v>32</v>
      </c>
      <c r="D54" s="13">
        <f>D53-D52/10</f>
        <v>8.65</v>
      </c>
    </row>
    <row r="55" spans="1:4" ht="23.25">
      <c r="A55" s="12">
        <v>55</v>
      </c>
      <c r="B55" s="13" t="s">
        <v>335</v>
      </c>
      <c r="C55" s="12"/>
      <c r="D55" s="13">
        <f>D8</f>
        <v>0.03992763157894737</v>
      </c>
    </row>
    <row r="56" spans="1:4" ht="23.25">
      <c r="A56" s="12">
        <v>56</v>
      </c>
      <c r="B56" s="13" t="s">
        <v>337</v>
      </c>
      <c r="C56" s="12" t="s">
        <v>9</v>
      </c>
      <c r="D56" s="13">
        <f>D55*D5*(1-0.59*D55*D5/D4)</f>
        <v>95.59636415339334</v>
      </c>
    </row>
    <row r="57" spans="1:4" ht="23.25">
      <c r="A57" s="12">
        <v>57</v>
      </c>
      <c r="B57" s="13" t="s">
        <v>338</v>
      </c>
      <c r="C57" s="12" t="s">
        <v>52</v>
      </c>
      <c r="D57" s="40">
        <f>0.9*D56*1*D53^2</f>
        <v>7846.764661529873</v>
      </c>
    </row>
    <row r="58" spans="1:4" ht="23.25">
      <c r="A58" s="12">
        <v>58</v>
      </c>
      <c r="B58" s="13" t="s">
        <v>339</v>
      </c>
      <c r="C58" s="12" t="s">
        <v>52</v>
      </c>
      <c r="D58" s="40">
        <f>0.9*D56*1*D54^2</f>
        <v>6437.483061180546</v>
      </c>
    </row>
    <row r="59" spans="1:4" ht="23.25">
      <c r="A59" s="12">
        <v>59</v>
      </c>
      <c r="B59" s="15" t="s">
        <v>340</v>
      </c>
      <c r="C59" s="12"/>
      <c r="D59" s="15">
        <f>IF(D57&gt;=D45,1,2)</f>
        <v>1</v>
      </c>
    </row>
    <row r="60" spans="1:4" ht="23.25">
      <c r="A60" s="12">
        <v>60</v>
      </c>
      <c r="B60" s="15" t="s">
        <v>341</v>
      </c>
      <c r="C60" s="12"/>
      <c r="D60" s="15">
        <f>IF(D58&gt;D49,1,2)</f>
        <v>1</v>
      </c>
    </row>
    <row r="61" spans="1:4" ht="23.25">
      <c r="A61" s="12">
        <v>61</v>
      </c>
      <c r="B61" s="13" t="s">
        <v>342</v>
      </c>
      <c r="C61" s="12"/>
      <c r="D61" s="13"/>
    </row>
    <row r="62" spans="1:4" ht="23.25">
      <c r="A62" s="12">
        <v>62</v>
      </c>
      <c r="B62" s="14" t="s">
        <v>343</v>
      </c>
      <c r="C62" s="12"/>
      <c r="D62" s="13"/>
    </row>
    <row r="63" spans="1:4" ht="23.25">
      <c r="A63" s="12">
        <v>63</v>
      </c>
      <c r="B63" s="13" t="s">
        <v>345</v>
      </c>
      <c r="C63" s="12" t="s">
        <v>9</v>
      </c>
      <c r="D63" s="49">
        <f>D42/0.9/1/D53^2</f>
        <v>18.109993397110824</v>
      </c>
    </row>
    <row r="64" spans="1:4" ht="23.25">
      <c r="A64" s="12">
        <v>64</v>
      </c>
      <c r="B64" s="13" t="s">
        <v>352</v>
      </c>
      <c r="C64" s="12"/>
      <c r="D64" s="13">
        <f>0.85*D4/D5*(1-SQRT(1-2*D63/0.85/D4))</f>
        <v>0.006232517980191379</v>
      </c>
    </row>
    <row r="65" spans="1:4" ht="23.25">
      <c r="A65" s="12">
        <v>65</v>
      </c>
      <c r="B65" s="13" t="s">
        <v>344</v>
      </c>
      <c r="C65" s="12" t="s">
        <v>346</v>
      </c>
      <c r="D65" s="26">
        <f>D64*100*D53</f>
        <v>5.9520546710827675</v>
      </c>
    </row>
    <row r="66" spans="1:4" ht="23.25">
      <c r="A66" s="12">
        <v>66</v>
      </c>
      <c r="B66" s="13" t="s">
        <v>347</v>
      </c>
      <c r="C66" s="12" t="s">
        <v>9</v>
      </c>
      <c r="D66" s="13">
        <f>D43/0.9/1/D53^2</f>
        <v>13.66192484343448</v>
      </c>
    </row>
    <row r="67" spans="1:4" ht="23.25">
      <c r="A67" s="12">
        <v>67</v>
      </c>
      <c r="B67" s="13" t="s">
        <v>352</v>
      </c>
      <c r="C67" s="12"/>
      <c r="D67" s="13">
        <f>0.85*D4/D5*(1-SQRT(1-2*D66/0.85/D4))</f>
        <v>0.004663636310694309</v>
      </c>
    </row>
    <row r="68" spans="1:4" ht="23.25">
      <c r="A68" s="12">
        <v>68</v>
      </c>
      <c r="B68" s="13" t="s">
        <v>348</v>
      </c>
      <c r="C68" s="12" t="s">
        <v>346</v>
      </c>
      <c r="D68" s="26">
        <f>D67*100*D53</f>
        <v>4.453772676713066</v>
      </c>
    </row>
    <row r="69" spans="1:4" ht="23.25">
      <c r="A69" s="12">
        <v>69</v>
      </c>
      <c r="B69" s="13" t="s">
        <v>349</v>
      </c>
      <c r="C69" s="12" t="s">
        <v>9</v>
      </c>
      <c r="D69" s="13">
        <f>D44/0.9/1/D53^2</f>
        <v>8.896137107352686</v>
      </c>
    </row>
    <row r="70" spans="1:4" ht="23.25">
      <c r="A70" s="12">
        <v>70</v>
      </c>
      <c r="B70" s="13" t="s">
        <v>352</v>
      </c>
      <c r="C70" s="12"/>
      <c r="D70" s="13">
        <f>0.85*D4/D5*(1-SQRT(1-2*D69/0.85/D4))</f>
        <v>0.003011093406382348</v>
      </c>
    </row>
    <row r="71" spans="1:4" ht="23.25">
      <c r="A71" s="12">
        <v>71</v>
      </c>
      <c r="B71" s="13" t="s">
        <v>350</v>
      </c>
      <c r="C71" s="12" t="s">
        <v>346</v>
      </c>
      <c r="D71" s="26">
        <f>D70*100*D53</f>
        <v>2.8755942030951425</v>
      </c>
    </row>
    <row r="72" spans="1:4" ht="23.25">
      <c r="A72" s="12">
        <v>72</v>
      </c>
      <c r="B72" s="13" t="s">
        <v>351</v>
      </c>
      <c r="C72" s="12" t="s">
        <v>9</v>
      </c>
      <c r="D72" s="13">
        <f>D45/0.9/1/D53^2</f>
        <v>18.109993397110824</v>
      </c>
    </row>
    <row r="73" spans="1:4" ht="23.25">
      <c r="A73" s="12">
        <v>73</v>
      </c>
      <c r="B73" s="13" t="s">
        <v>352</v>
      </c>
      <c r="C73" s="12"/>
      <c r="D73" s="13">
        <f>0.85*D4/D5*(1-SQRT(1-2*D72/0.85/D4))</f>
        <v>0.006232517980191379</v>
      </c>
    </row>
    <row r="74" spans="1:4" ht="23.25">
      <c r="A74" s="12">
        <v>74</v>
      </c>
      <c r="B74" s="13" t="s">
        <v>354</v>
      </c>
      <c r="C74" s="12" t="s">
        <v>346</v>
      </c>
      <c r="D74" s="26">
        <f>D73*100*D53</f>
        <v>5.9520546710827675</v>
      </c>
    </row>
    <row r="75" spans="1:4" ht="23.25">
      <c r="A75" s="12">
        <v>75</v>
      </c>
      <c r="B75" s="13" t="s">
        <v>353</v>
      </c>
      <c r="C75" s="12" t="s">
        <v>9</v>
      </c>
      <c r="D75" s="13">
        <f>D46/0.9/1/D54^2</f>
        <v>9.681841602904653</v>
      </c>
    </row>
    <row r="76" spans="1:4" ht="23.25">
      <c r="A76" s="12">
        <v>76</v>
      </c>
      <c r="B76" s="13" t="s">
        <v>352</v>
      </c>
      <c r="C76" s="12"/>
      <c r="D76" s="13">
        <f>0.85*D4/D5*(1-SQRT(1-2*D75/0.85/D4))</f>
        <v>0.003281576731849536</v>
      </c>
    </row>
    <row r="77" spans="1:4" ht="23.25">
      <c r="A77" s="12">
        <v>77</v>
      </c>
      <c r="B77" s="13" t="s">
        <v>355</v>
      </c>
      <c r="C77" s="12" t="s">
        <v>346</v>
      </c>
      <c r="D77" s="26">
        <f>D76*100*D54</f>
        <v>2.8385638730498486</v>
      </c>
    </row>
    <row r="78" spans="1:4" ht="23.25">
      <c r="A78" s="12">
        <v>78</v>
      </c>
      <c r="B78" s="13" t="s">
        <v>356</v>
      </c>
      <c r="C78" s="12" t="s">
        <v>9</v>
      </c>
      <c r="D78" s="13">
        <f>D47/0.9/1/D54^2</f>
        <v>14.329125572298885</v>
      </c>
    </row>
    <row r="79" spans="1:4" ht="23.25">
      <c r="A79" s="12">
        <v>79</v>
      </c>
      <c r="B79" s="13" t="s">
        <v>352</v>
      </c>
      <c r="C79" s="12"/>
      <c r="D79" s="13">
        <f>0.85*D4/D5*(1-SQRT(1-2*D78/0.85/D4))</f>
        <v>0.004897300672498326</v>
      </c>
    </row>
    <row r="80" spans="1:4" ht="23.25">
      <c r="A80" s="12">
        <v>80</v>
      </c>
      <c r="B80" s="13" t="s">
        <v>357</v>
      </c>
      <c r="C80" s="12" t="s">
        <v>346</v>
      </c>
      <c r="D80" s="26">
        <f>D79*100*D54</f>
        <v>4.236165081711053</v>
      </c>
    </row>
    <row r="81" spans="1:4" ht="23.25">
      <c r="A81" s="12">
        <v>81</v>
      </c>
      <c r="B81" s="13" t="s">
        <v>358</v>
      </c>
      <c r="C81" s="12" t="s">
        <v>9</v>
      </c>
      <c r="D81" s="13">
        <f>D48/0.9/1/D54^2</f>
        <v>18.97640954169312</v>
      </c>
    </row>
    <row r="82" spans="1:4" ht="23.25">
      <c r="A82" s="12">
        <v>82</v>
      </c>
      <c r="B82" s="13" t="s">
        <v>352</v>
      </c>
      <c r="C82" s="12"/>
      <c r="D82" s="13">
        <f>0.85*D4/D5*(1-SQRT(1-2*D81/0.85/D4))</f>
        <v>0.006541204410994474</v>
      </c>
    </row>
    <row r="83" spans="1:4" ht="23.25">
      <c r="A83" s="12">
        <v>83</v>
      </c>
      <c r="B83" s="13" t="s">
        <v>359</v>
      </c>
      <c r="C83" s="12" t="s">
        <v>346</v>
      </c>
      <c r="D83" s="26">
        <f>D82*100*D54</f>
        <v>5.65814181551022</v>
      </c>
    </row>
    <row r="84" spans="1:4" ht="23.25">
      <c r="A84" s="12">
        <v>84</v>
      </c>
      <c r="B84" s="13" t="s">
        <v>360</v>
      </c>
      <c r="C84" s="12" t="s">
        <v>9</v>
      </c>
      <c r="D84" s="13">
        <f>D49/0.9/1/D54^2</f>
        <v>18.97640954169312</v>
      </c>
    </row>
    <row r="85" spans="1:4" ht="23.25">
      <c r="A85" s="12">
        <v>85</v>
      </c>
      <c r="B85" s="13" t="s">
        <v>352</v>
      </c>
      <c r="C85" s="12"/>
      <c r="D85" s="13">
        <f>0.85*D4/D5*(1-SQRT(1-2*D84/0.85/D4))</f>
        <v>0.006541204410994474</v>
      </c>
    </row>
    <row r="86" spans="1:4" ht="23.25">
      <c r="A86" s="12">
        <v>86</v>
      </c>
      <c r="B86" s="13" t="s">
        <v>361</v>
      </c>
      <c r="C86" s="12" t="s">
        <v>346</v>
      </c>
      <c r="D86" s="26">
        <f>D85*100*D54</f>
        <v>5.65814181551022</v>
      </c>
    </row>
    <row r="87" spans="1:4" ht="23.25">
      <c r="A87" s="12">
        <v>87</v>
      </c>
      <c r="B87" s="13" t="s">
        <v>362</v>
      </c>
      <c r="C87" s="12" t="s">
        <v>160</v>
      </c>
      <c r="D87" s="22">
        <f>3.1415926/4*(D52/10)^2</f>
        <v>0.6361725015</v>
      </c>
    </row>
    <row r="88" spans="1:4" ht="23.25">
      <c r="A88" s="12">
        <v>88</v>
      </c>
      <c r="B88" s="13" t="s">
        <v>363</v>
      </c>
      <c r="C88" s="12" t="s">
        <v>18</v>
      </c>
      <c r="D88" s="26">
        <f>D87/D65</f>
        <v>0.10688283906240914</v>
      </c>
    </row>
    <row r="89" spans="1:4" ht="23.25">
      <c r="A89" s="12">
        <v>89</v>
      </c>
      <c r="B89" s="13" t="s">
        <v>364</v>
      </c>
      <c r="C89" s="12" t="s">
        <v>18</v>
      </c>
      <c r="D89" s="26">
        <f>D87/D68</f>
        <v>0.14283901484830663</v>
      </c>
    </row>
    <row r="90" spans="1:4" ht="23.25">
      <c r="A90" s="12">
        <v>90</v>
      </c>
      <c r="B90" s="13" t="s">
        <v>365</v>
      </c>
      <c r="C90" s="12" t="s">
        <v>18</v>
      </c>
      <c r="D90" s="26">
        <f>D87/D71</f>
        <v>0.22123166781156275</v>
      </c>
    </row>
    <row r="91" spans="1:4" ht="23.25">
      <c r="A91" s="12">
        <v>91</v>
      </c>
      <c r="B91" s="13" t="s">
        <v>366</v>
      </c>
      <c r="C91" s="12" t="s">
        <v>18</v>
      </c>
      <c r="D91" s="26">
        <f>D87/D74</f>
        <v>0.10688283906240914</v>
      </c>
    </row>
    <row r="92" spans="1:4" ht="23.25">
      <c r="A92" s="12">
        <v>92</v>
      </c>
      <c r="B92" s="13" t="s">
        <v>367</v>
      </c>
      <c r="C92" s="12" t="s">
        <v>18</v>
      </c>
      <c r="D92" s="26">
        <f>D87/D77</f>
        <v>0.2241177334566986</v>
      </c>
    </row>
    <row r="93" spans="1:4" ht="23.25">
      <c r="A93" s="12">
        <v>93</v>
      </c>
      <c r="B93" s="13" t="s">
        <v>368</v>
      </c>
      <c r="C93" s="12" t="s">
        <v>18</v>
      </c>
      <c r="D93" s="26">
        <f>D87/D80</f>
        <v>0.15017651324462553</v>
      </c>
    </row>
    <row r="94" spans="1:4" ht="23.25">
      <c r="A94" s="12">
        <v>94</v>
      </c>
      <c r="B94" s="13" t="s">
        <v>369</v>
      </c>
      <c r="C94" s="12" t="s">
        <v>18</v>
      </c>
      <c r="D94" s="26">
        <f>D87/D83</f>
        <v>0.11243488096323608</v>
      </c>
    </row>
    <row r="95" spans="1:4" ht="23.25">
      <c r="A95" s="12">
        <v>95</v>
      </c>
      <c r="B95" s="13" t="s">
        <v>370</v>
      </c>
      <c r="C95" s="12" t="s">
        <v>18</v>
      </c>
      <c r="D95" s="26">
        <f>D87/D86</f>
        <v>0.11243488096323608</v>
      </c>
    </row>
    <row r="96" spans="1:4" ht="23.25">
      <c r="A96" s="12">
        <v>96</v>
      </c>
      <c r="B96" s="14" t="s">
        <v>371</v>
      </c>
      <c r="C96" s="12"/>
      <c r="D96" s="13"/>
    </row>
    <row r="97" spans="1:4" ht="23.25">
      <c r="A97" s="12">
        <v>97</v>
      </c>
      <c r="B97" s="13" t="s">
        <v>372</v>
      </c>
      <c r="C97" s="12" t="s">
        <v>54</v>
      </c>
      <c r="D97" s="40">
        <f>1.15/4*D41*D21</f>
        <v>1669.8759</v>
      </c>
    </row>
    <row r="98" spans="1:4" ht="23.25">
      <c r="A98" s="12">
        <v>98</v>
      </c>
      <c r="B98" s="13" t="s">
        <v>374</v>
      </c>
      <c r="C98" s="12" t="s">
        <v>54</v>
      </c>
      <c r="D98" s="40">
        <f>0.53*0.85*SQRT(D4)*100*D54</f>
        <v>7290.292023107683</v>
      </c>
    </row>
    <row r="99" spans="1:4" ht="23.25">
      <c r="A99" s="12">
        <v>99</v>
      </c>
      <c r="B99" s="13" t="s">
        <v>373</v>
      </c>
      <c r="C99" s="12"/>
      <c r="D99" s="14">
        <f>IF(D97&lt;D98,1,2)</f>
        <v>1</v>
      </c>
    </row>
    <row r="100" spans="1:4" ht="23.25">
      <c r="A100" s="12">
        <v>100</v>
      </c>
      <c r="B100" s="14" t="s">
        <v>375</v>
      </c>
      <c r="C100" s="12"/>
      <c r="D100" s="13"/>
    </row>
    <row r="101" spans="1:4" ht="23.25">
      <c r="A101" s="12">
        <v>101</v>
      </c>
      <c r="B101" s="13" t="s">
        <v>377</v>
      </c>
      <c r="C101" s="12" t="s">
        <v>18</v>
      </c>
      <c r="D101" s="22">
        <f>(D10-D12)/7</f>
        <v>0.6071428571428571</v>
      </c>
    </row>
    <row r="102" spans="1:4" ht="23.25">
      <c r="A102" s="12">
        <v>102</v>
      </c>
      <c r="B102" s="13" t="s">
        <v>376</v>
      </c>
      <c r="C102" s="12" t="s">
        <v>18</v>
      </c>
      <c r="D102" s="22">
        <f>(D10-D12)/4</f>
        <v>1.0625</v>
      </c>
    </row>
    <row r="103" spans="1:4" ht="23.25">
      <c r="A103" s="12">
        <v>103</v>
      </c>
      <c r="B103" s="13" t="s">
        <v>378</v>
      </c>
      <c r="C103" s="12" t="s">
        <v>18</v>
      </c>
      <c r="D103" s="22">
        <f>(D10-D12)/4</f>
        <v>1.0625</v>
      </c>
    </row>
    <row r="104" spans="1:4" ht="23.25">
      <c r="A104" s="12">
        <v>104</v>
      </c>
      <c r="B104" s="25" t="s">
        <v>379</v>
      </c>
      <c r="C104" s="12" t="s">
        <v>18</v>
      </c>
      <c r="D104" s="22">
        <f>(D10-D12)/3</f>
        <v>1.4166666666666667</v>
      </c>
    </row>
    <row r="105" spans="1:4" ht="23.25">
      <c r="A105" s="12">
        <v>105</v>
      </c>
      <c r="B105" s="25" t="s">
        <v>380</v>
      </c>
      <c r="C105" s="12" t="s">
        <v>18</v>
      </c>
      <c r="D105" s="22">
        <f>(D11-D12)/7</f>
        <v>0.6785714285714286</v>
      </c>
    </row>
    <row r="106" spans="1:4" ht="23.25">
      <c r="A106" s="12">
        <v>106</v>
      </c>
      <c r="B106" s="25" t="s">
        <v>381</v>
      </c>
      <c r="C106" s="12" t="s">
        <v>18</v>
      </c>
      <c r="D106" s="22">
        <f>(D11-D12)/4</f>
        <v>1.1875</v>
      </c>
    </row>
    <row r="107" spans="1:4" ht="23.25">
      <c r="A107" s="12">
        <v>107</v>
      </c>
      <c r="B107" s="25" t="s">
        <v>382</v>
      </c>
      <c r="C107" s="12" t="s">
        <v>18</v>
      </c>
      <c r="D107" s="22">
        <f>(D11-D12)/4</f>
        <v>1.1875</v>
      </c>
    </row>
    <row r="108" spans="1:4" ht="23.25">
      <c r="A108" s="12">
        <v>108</v>
      </c>
      <c r="B108" s="25" t="s">
        <v>383</v>
      </c>
      <c r="C108" s="12" t="s">
        <v>18</v>
      </c>
      <c r="D108" s="22">
        <f>(D11-D12)/3</f>
        <v>1.5833333333333333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6.28125" style="11" customWidth="1"/>
    <col min="2" max="16384" width="9.140625" style="11" customWidth="1"/>
  </cols>
  <sheetData>
    <row r="1" ht="15" customHeight="1"/>
    <row r="2" spans="1:8" ht="15" customHeight="1">
      <c r="A2" s="27"/>
      <c r="H2" s="28" t="s">
        <v>278</v>
      </c>
    </row>
    <row r="3" spans="1:8" ht="15" customHeight="1">
      <c r="A3" s="29"/>
      <c r="H3" s="23" t="s">
        <v>277</v>
      </c>
    </row>
    <row r="4" spans="1:8" ht="23.25">
      <c r="A4" s="30" t="s">
        <v>279</v>
      </c>
      <c r="B4" s="28"/>
      <c r="C4" s="28"/>
      <c r="D4" s="28"/>
      <c r="E4" s="28"/>
      <c r="F4" s="28"/>
      <c r="G4" s="31">
        <v>0.5</v>
      </c>
      <c r="H4" s="23" t="s">
        <v>276</v>
      </c>
    </row>
    <row r="5" spans="1:8" ht="23.25">
      <c r="A5" s="29"/>
      <c r="B5" s="32">
        <v>1</v>
      </c>
      <c r="C5" s="32">
        <v>0.9</v>
      </c>
      <c r="D5" s="32">
        <v>0.8</v>
      </c>
      <c r="E5" s="32">
        <v>0.7</v>
      </c>
      <c r="F5" s="32">
        <v>0.6</v>
      </c>
      <c r="G5" s="33" t="s">
        <v>274</v>
      </c>
      <c r="H5" s="23" t="s">
        <v>18</v>
      </c>
    </row>
    <row r="6" spans="1:8" ht="23.25">
      <c r="A6" s="34"/>
      <c r="B6" s="24"/>
      <c r="C6" s="24"/>
      <c r="D6" s="24"/>
      <c r="E6" s="24"/>
      <c r="F6" s="24"/>
      <c r="G6" s="35" t="s">
        <v>273</v>
      </c>
      <c r="H6" s="24" t="s">
        <v>275</v>
      </c>
    </row>
    <row r="7" spans="1:8" ht="23.25">
      <c r="A7" s="36" t="s">
        <v>268</v>
      </c>
      <c r="B7" s="27"/>
      <c r="C7" s="27"/>
      <c r="D7" s="27"/>
      <c r="E7" s="27"/>
      <c r="F7" s="27"/>
      <c r="G7" s="27"/>
      <c r="H7" s="27"/>
    </row>
    <row r="8" spans="1:8" ht="23.25">
      <c r="A8" s="29" t="s">
        <v>269</v>
      </c>
      <c r="B8" s="37">
        <v>0.033</v>
      </c>
      <c r="C8" s="37">
        <v>0.04</v>
      </c>
      <c r="D8" s="37">
        <v>0.048</v>
      </c>
      <c r="E8" s="37">
        <v>0.055</v>
      </c>
      <c r="F8" s="37">
        <v>0.063</v>
      </c>
      <c r="G8" s="37">
        <v>0.083</v>
      </c>
      <c r="H8" s="37">
        <v>0.033</v>
      </c>
    </row>
    <row r="9" spans="1:8" ht="23.25">
      <c r="A9" s="29" t="s">
        <v>270</v>
      </c>
      <c r="B9" s="38" t="s">
        <v>272</v>
      </c>
      <c r="C9" s="38" t="s">
        <v>272</v>
      </c>
      <c r="D9" s="38" t="s">
        <v>272</v>
      </c>
      <c r="E9" s="38" t="s">
        <v>272</v>
      </c>
      <c r="F9" s="38" t="s">
        <v>272</v>
      </c>
      <c r="G9" s="38" t="s">
        <v>272</v>
      </c>
      <c r="H9" s="38" t="s">
        <v>272</v>
      </c>
    </row>
    <row r="10" spans="1:8" ht="23.25">
      <c r="A10" s="34" t="s">
        <v>271</v>
      </c>
      <c r="B10" s="39">
        <v>0.025</v>
      </c>
      <c r="C10" s="39">
        <v>0.03</v>
      </c>
      <c r="D10" s="39">
        <v>0.036</v>
      </c>
      <c r="E10" s="39">
        <v>0.041</v>
      </c>
      <c r="F10" s="39">
        <v>0.047</v>
      </c>
      <c r="G10" s="39">
        <v>0.062</v>
      </c>
      <c r="H10" s="39">
        <v>0.025</v>
      </c>
    </row>
    <row r="11" spans="1:8" ht="23.25">
      <c r="A11" s="36" t="s">
        <v>280</v>
      </c>
      <c r="B11" s="28"/>
      <c r="C11" s="28"/>
      <c r="D11" s="28"/>
      <c r="E11" s="28"/>
      <c r="F11" s="28"/>
      <c r="G11" s="28"/>
      <c r="H11" s="28"/>
    </row>
    <row r="12" spans="1:8" ht="23.25">
      <c r="A12" s="29" t="s">
        <v>269</v>
      </c>
      <c r="B12" s="37">
        <v>0.041</v>
      </c>
      <c r="C12" s="37">
        <v>0.048</v>
      </c>
      <c r="D12" s="37">
        <v>0.055</v>
      </c>
      <c r="E12" s="37">
        <v>0.062</v>
      </c>
      <c r="F12" s="37">
        <v>0.069</v>
      </c>
      <c r="G12" s="37">
        <v>0.085</v>
      </c>
      <c r="H12" s="37">
        <v>0.041</v>
      </c>
    </row>
    <row r="13" spans="1:8" ht="23.25">
      <c r="A13" s="29" t="s">
        <v>270</v>
      </c>
      <c r="B13" s="37">
        <v>0.021</v>
      </c>
      <c r="C13" s="37">
        <v>0.024</v>
      </c>
      <c r="D13" s="37">
        <v>0.027</v>
      </c>
      <c r="E13" s="37">
        <v>0.031</v>
      </c>
      <c r="F13" s="37">
        <v>0.035</v>
      </c>
      <c r="G13" s="37">
        <v>0.042</v>
      </c>
      <c r="H13" s="37">
        <v>0.021</v>
      </c>
    </row>
    <row r="14" spans="1:8" ht="23.25">
      <c r="A14" s="34" t="s">
        <v>271</v>
      </c>
      <c r="B14" s="39">
        <v>0.031</v>
      </c>
      <c r="C14" s="39">
        <v>0.036</v>
      </c>
      <c r="D14" s="39">
        <v>0.041</v>
      </c>
      <c r="E14" s="39">
        <v>0.047</v>
      </c>
      <c r="F14" s="39">
        <v>0.052</v>
      </c>
      <c r="G14" s="39">
        <v>0.064</v>
      </c>
      <c r="H14" s="39">
        <v>0.31</v>
      </c>
    </row>
    <row r="15" spans="1:8" ht="23.25">
      <c r="A15" s="36" t="s">
        <v>281</v>
      </c>
      <c r="B15" s="28"/>
      <c r="C15" s="28"/>
      <c r="D15" s="28"/>
      <c r="E15" s="28"/>
      <c r="F15" s="28"/>
      <c r="G15" s="28"/>
      <c r="H15" s="28"/>
    </row>
    <row r="16" spans="1:8" ht="23.25">
      <c r="A16" s="29" t="s">
        <v>269</v>
      </c>
      <c r="B16" s="37">
        <v>0.049</v>
      </c>
      <c r="C16" s="37">
        <v>0.057</v>
      </c>
      <c r="D16" s="37">
        <v>0.064</v>
      </c>
      <c r="E16" s="37">
        <v>0.071</v>
      </c>
      <c r="F16" s="37">
        <v>0.078</v>
      </c>
      <c r="G16" s="37">
        <v>0.09</v>
      </c>
      <c r="H16" s="37">
        <v>0.049</v>
      </c>
    </row>
    <row r="17" spans="1:8" ht="23.25">
      <c r="A17" s="29" t="s">
        <v>270</v>
      </c>
      <c r="B17" s="37">
        <v>0.025</v>
      </c>
      <c r="C17" s="37">
        <v>0.028</v>
      </c>
      <c r="D17" s="37">
        <v>0.032</v>
      </c>
      <c r="E17" s="37">
        <v>0.036</v>
      </c>
      <c r="F17" s="37">
        <v>0.039</v>
      </c>
      <c r="G17" s="37">
        <v>0.045</v>
      </c>
      <c r="H17" s="37">
        <v>0.025</v>
      </c>
    </row>
    <row r="18" spans="1:8" ht="23.25">
      <c r="A18" s="34" t="s">
        <v>271</v>
      </c>
      <c r="B18" s="39">
        <v>0.037</v>
      </c>
      <c r="C18" s="39">
        <v>0.043</v>
      </c>
      <c r="D18" s="39">
        <v>0.048</v>
      </c>
      <c r="E18" s="39">
        <v>0.054</v>
      </c>
      <c r="F18" s="39">
        <v>0.059</v>
      </c>
      <c r="G18" s="39">
        <v>0.068</v>
      </c>
      <c r="H18" s="39">
        <v>0.037</v>
      </c>
    </row>
    <row r="19" spans="1:8" ht="23.25">
      <c r="A19" s="36" t="s">
        <v>282</v>
      </c>
      <c r="B19" s="28"/>
      <c r="C19" s="28"/>
      <c r="D19" s="28"/>
      <c r="E19" s="28"/>
      <c r="F19" s="28"/>
      <c r="G19" s="28"/>
      <c r="H19" s="28"/>
    </row>
    <row r="20" spans="1:8" ht="23.25">
      <c r="A20" s="29" t="s">
        <v>269</v>
      </c>
      <c r="B20" s="37">
        <v>0.058</v>
      </c>
      <c r="C20" s="37">
        <v>0.066</v>
      </c>
      <c r="D20" s="37">
        <v>0.074</v>
      </c>
      <c r="E20" s="37">
        <v>0.082</v>
      </c>
      <c r="F20" s="37">
        <v>0.09</v>
      </c>
      <c r="G20" s="37">
        <v>0.098</v>
      </c>
      <c r="H20" s="37">
        <v>0.058</v>
      </c>
    </row>
    <row r="21" spans="1:8" ht="23.25">
      <c r="A21" s="29" t="s">
        <v>270</v>
      </c>
      <c r="B21" s="37">
        <v>0.029</v>
      </c>
      <c r="C21" s="37">
        <v>0.033</v>
      </c>
      <c r="D21" s="37">
        <v>0.037</v>
      </c>
      <c r="E21" s="37">
        <v>0.041</v>
      </c>
      <c r="F21" s="37">
        <v>0.045</v>
      </c>
      <c r="G21" s="37">
        <v>0.049</v>
      </c>
      <c r="H21" s="37">
        <v>0.029</v>
      </c>
    </row>
    <row r="22" spans="1:8" ht="23.25">
      <c r="A22" s="34" t="s">
        <v>271</v>
      </c>
      <c r="B22" s="39">
        <v>0.044</v>
      </c>
      <c r="C22" s="39">
        <v>0.05</v>
      </c>
      <c r="D22" s="39">
        <v>0.056</v>
      </c>
      <c r="E22" s="39">
        <v>0.062</v>
      </c>
      <c r="F22" s="39">
        <v>0.068</v>
      </c>
      <c r="G22" s="39">
        <v>0.074</v>
      </c>
      <c r="H22" s="39">
        <v>0.044</v>
      </c>
    </row>
    <row r="23" spans="1:8" ht="23.25">
      <c r="A23" s="36" t="s">
        <v>283</v>
      </c>
      <c r="B23" s="28"/>
      <c r="C23" s="28"/>
      <c r="D23" s="28"/>
      <c r="E23" s="28"/>
      <c r="F23" s="28"/>
      <c r="G23" s="28"/>
      <c r="H23" s="28"/>
    </row>
    <row r="24" spans="1:8" ht="23.25">
      <c r="A24" s="29" t="s">
        <v>269</v>
      </c>
      <c r="B24" s="38" t="s">
        <v>272</v>
      </c>
      <c r="C24" s="38" t="s">
        <v>272</v>
      </c>
      <c r="D24" s="38" t="s">
        <v>272</v>
      </c>
      <c r="E24" s="38" t="s">
        <v>272</v>
      </c>
      <c r="F24" s="38" t="s">
        <v>272</v>
      </c>
      <c r="G24" s="38" t="s">
        <v>272</v>
      </c>
      <c r="H24" s="38" t="s">
        <v>272</v>
      </c>
    </row>
    <row r="25" spans="1:8" ht="23.25">
      <c r="A25" s="29" t="s">
        <v>270</v>
      </c>
      <c r="B25" s="37">
        <v>0.033</v>
      </c>
      <c r="C25" s="37">
        <v>0.038</v>
      </c>
      <c r="D25" s="37">
        <v>0.043</v>
      </c>
      <c r="E25" s="37">
        <v>0.047</v>
      </c>
      <c r="F25" s="37">
        <v>0.053</v>
      </c>
      <c r="G25" s="37">
        <v>0.055</v>
      </c>
      <c r="H25" s="37">
        <v>0.033</v>
      </c>
    </row>
    <row r="26" spans="1:8" ht="23.25">
      <c r="A26" s="34" t="s">
        <v>271</v>
      </c>
      <c r="B26" s="39">
        <v>0.05</v>
      </c>
      <c r="C26" s="39">
        <v>0.057</v>
      </c>
      <c r="D26" s="39">
        <v>0.064</v>
      </c>
      <c r="E26" s="39">
        <v>0.072</v>
      </c>
      <c r="F26" s="39">
        <v>0.08</v>
      </c>
      <c r="G26" s="39">
        <v>0.083</v>
      </c>
      <c r="H26" s="39">
        <v>0.05</v>
      </c>
    </row>
  </sheetData>
  <sheetProtection/>
  <printOptions/>
  <pageMargins left="0.23" right="0.16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34">
      <selection activeCell="B46" sqref="B46"/>
    </sheetView>
  </sheetViews>
  <sheetFormatPr defaultColWidth="9.140625" defaultRowHeight="12.75"/>
  <cols>
    <col min="1" max="1" width="9.140625" style="10" customWidth="1"/>
    <col min="2" max="2" width="48.140625" style="11" customWidth="1"/>
    <col min="3" max="3" width="9.140625" style="10" customWidth="1"/>
    <col min="4" max="4" width="12.8515625" style="11" customWidth="1"/>
    <col min="5" max="16384" width="9.140625" style="11" customWidth="1"/>
  </cols>
  <sheetData>
    <row r="1" spans="1:4" s="10" customFormat="1" ht="23.25">
      <c r="A1" s="10" t="s">
        <v>0</v>
      </c>
      <c r="B1" s="18" t="s">
        <v>225</v>
      </c>
      <c r="C1" s="10" t="s">
        <v>1</v>
      </c>
      <c r="D1" s="10" t="s">
        <v>2</v>
      </c>
    </row>
    <row r="2" spans="1:4" s="10" customFormat="1" ht="23.25">
      <c r="A2" s="19" t="s">
        <v>3</v>
      </c>
      <c r="B2" s="19" t="s">
        <v>4</v>
      </c>
      <c r="C2" s="19" t="s">
        <v>5</v>
      </c>
      <c r="D2" s="19" t="s">
        <v>6</v>
      </c>
    </row>
    <row r="3" spans="1:4" ht="23.25">
      <c r="A3" s="12">
        <v>3</v>
      </c>
      <c r="B3" s="13" t="s">
        <v>8</v>
      </c>
      <c r="C3" s="12" t="s">
        <v>9</v>
      </c>
      <c r="D3" s="51">
        <v>250</v>
      </c>
    </row>
    <row r="4" spans="1:4" ht="23.25">
      <c r="A4" s="12">
        <v>4</v>
      </c>
      <c r="B4" s="13" t="s">
        <v>226</v>
      </c>
      <c r="C4" s="12" t="s">
        <v>9</v>
      </c>
      <c r="D4" s="51">
        <v>4000</v>
      </c>
    </row>
    <row r="5" spans="1:4" ht="23.25">
      <c r="A5" s="12">
        <v>5</v>
      </c>
      <c r="B5" s="13" t="s">
        <v>236</v>
      </c>
      <c r="C5" s="12"/>
      <c r="D5" s="51">
        <f>IF(D3&gt;560,0.65,IF(D3&lt;=280,0.85,0.85-0.05/70*(D3-280)))</f>
        <v>0.85</v>
      </c>
    </row>
    <row r="6" spans="1:4" ht="23.25">
      <c r="A6" s="12">
        <v>6</v>
      </c>
      <c r="B6" s="14" t="s">
        <v>237</v>
      </c>
      <c r="C6" s="12"/>
      <c r="D6" s="51"/>
    </row>
    <row r="7" spans="1:4" ht="23.25">
      <c r="A7" s="12">
        <v>7</v>
      </c>
      <c r="B7" s="13" t="s">
        <v>227</v>
      </c>
      <c r="C7" s="12" t="s">
        <v>54</v>
      </c>
      <c r="D7" s="56">
        <v>275000</v>
      </c>
    </row>
    <row r="8" spans="1:4" ht="23.25">
      <c r="A8" s="12">
        <v>8</v>
      </c>
      <c r="B8" s="15" t="s">
        <v>228</v>
      </c>
      <c r="C8" s="12" t="s">
        <v>65</v>
      </c>
      <c r="D8" s="57">
        <v>0</v>
      </c>
    </row>
    <row r="9" spans="1:4" ht="23.25">
      <c r="A9" s="12">
        <v>9</v>
      </c>
      <c r="B9" s="15" t="s">
        <v>229</v>
      </c>
      <c r="C9" s="12" t="s">
        <v>32</v>
      </c>
      <c r="D9" s="57">
        <v>40</v>
      </c>
    </row>
    <row r="10" spans="1:4" ht="23.25">
      <c r="A10" s="12">
        <v>10</v>
      </c>
      <c r="B10" s="13" t="s">
        <v>230</v>
      </c>
      <c r="C10" s="12" t="s">
        <v>65</v>
      </c>
      <c r="D10" s="51">
        <f>IF(D8=0,D7*D9,D8)</f>
        <v>11000000</v>
      </c>
    </row>
    <row r="11" spans="1:4" ht="23.25">
      <c r="A11" s="12">
        <v>11</v>
      </c>
      <c r="B11" s="13" t="s">
        <v>231</v>
      </c>
      <c r="C11" s="12" t="s">
        <v>32</v>
      </c>
      <c r="D11" s="51">
        <f>IF(D9=0,D10/D7,D9)</f>
        <v>40</v>
      </c>
    </row>
    <row r="12" spans="1:4" ht="23.25">
      <c r="A12" s="12">
        <v>12</v>
      </c>
      <c r="B12" s="13" t="s">
        <v>232</v>
      </c>
      <c r="C12" s="12" t="s">
        <v>54</v>
      </c>
      <c r="D12" s="50">
        <f>D7/0.7</f>
        <v>392857.1428571429</v>
      </c>
    </row>
    <row r="13" spans="1:4" ht="23.25">
      <c r="A13" s="12">
        <v>13</v>
      </c>
      <c r="B13" s="13" t="s">
        <v>233</v>
      </c>
      <c r="C13" s="12" t="s">
        <v>65</v>
      </c>
      <c r="D13" s="50">
        <f>D10/0.7</f>
        <v>15714285.714285715</v>
      </c>
    </row>
    <row r="14" spans="1:4" ht="23.25">
      <c r="A14" s="12">
        <v>14</v>
      </c>
      <c r="B14" s="15" t="s">
        <v>234</v>
      </c>
      <c r="C14" s="12" t="s">
        <v>32</v>
      </c>
      <c r="D14" s="57">
        <v>40</v>
      </c>
    </row>
    <row r="15" spans="1:4" ht="23.25">
      <c r="A15" s="12">
        <v>15</v>
      </c>
      <c r="B15" s="15" t="s">
        <v>235</v>
      </c>
      <c r="C15" s="12" t="s">
        <v>32</v>
      </c>
      <c r="D15" s="57">
        <v>80</v>
      </c>
    </row>
    <row r="16" spans="1:4" ht="23.25">
      <c r="A16" s="12">
        <v>16</v>
      </c>
      <c r="B16" s="13" t="s">
        <v>238</v>
      </c>
      <c r="C16" s="12" t="s">
        <v>32</v>
      </c>
      <c r="D16" s="58">
        <v>8.25</v>
      </c>
    </row>
    <row r="17" spans="1:4" ht="23.25">
      <c r="A17" s="12">
        <v>17</v>
      </c>
      <c r="B17" s="13" t="s">
        <v>239</v>
      </c>
      <c r="C17" s="12" t="s">
        <v>32</v>
      </c>
      <c r="D17" s="50">
        <f>D15-D16</f>
        <v>71.75</v>
      </c>
    </row>
    <row r="18" spans="1:4" ht="23.25">
      <c r="A18" s="12">
        <v>18</v>
      </c>
      <c r="B18" s="15" t="s">
        <v>240</v>
      </c>
      <c r="C18" s="12" t="s">
        <v>32</v>
      </c>
      <c r="D18" s="59">
        <v>5.75</v>
      </c>
    </row>
    <row r="19" spans="1:4" ht="23.25">
      <c r="A19" s="12">
        <v>19</v>
      </c>
      <c r="B19" s="13" t="s">
        <v>241</v>
      </c>
      <c r="C19" s="12" t="s">
        <v>32</v>
      </c>
      <c r="D19" s="50">
        <f>D15-D18</f>
        <v>74.25</v>
      </c>
    </row>
    <row r="20" spans="1:4" ht="23.25">
      <c r="A20" s="12">
        <v>20</v>
      </c>
      <c r="B20" s="13" t="s">
        <v>242</v>
      </c>
      <c r="C20" s="12" t="s">
        <v>160</v>
      </c>
      <c r="D20" s="51">
        <f>D14*D15</f>
        <v>3200</v>
      </c>
    </row>
    <row r="21" spans="1:4" ht="23.25">
      <c r="A21" s="12">
        <v>21</v>
      </c>
      <c r="B21" s="13" t="s">
        <v>243</v>
      </c>
      <c r="C21" s="12" t="s">
        <v>32</v>
      </c>
      <c r="D21" s="52">
        <f>D15/D5/4</f>
        <v>23.529411764705884</v>
      </c>
    </row>
    <row r="22" spans="1:4" ht="23.25">
      <c r="A22" s="12">
        <v>22</v>
      </c>
      <c r="B22" s="15" t="s">
        <v>244</v>
      </c>
      <c r="C22" s="12" t="s">
        <v>32</v>
      </c>
      <c r="D22" s="60">
        <v>13.0815</v>
      </c>
    </row>
    <row r="23" spans="1:4" ht="23.25">
      <c r="A23" s="12">
        <v>23</v>
      </c>
      <c r="B23" s="13" t="s">
        <v>245</v>
      </c>
      <c r="C23" s="12" t="s">
        <v>9</v>
      </c>
      <c r="D23" s="50">
        <f>6120*(D19/D22-1)</f>
        <v>28616.842105263157</v>
      </c>
    </row>
    <row r="24" spans="1:4" ht="23.25">
      <c r="A24" s="12">
        <v>24</v>
      </c>
      <c r="B24" s="13" t="s">
        <v>246</v>
      </c>
      <c r="C24" s="12" t="s">
        <v>9</v>
      </c>
      <c r="D24" s="50">
        <f>6120*(1-D18/D22)</f>
        <v>3429.941520467836</v>
      </c>
    </row>
    <row r="25" spans="1:4" ht="23.25">
      <c r="A25" s="12">
        <v>25</v>
      </c>
      <c r="B25" s="13" t="s">
        <v>247</v>
      </c>
      <c r="C25" s="12" t="s">
        <v>9</v>
      </c>
      <c r="D25" s="51">
        <f>IF(D23&gt;D4,D4,D23)</f>
        <v>4000</v>
      </c>
    </row>
    <row r="26" spans="1:4" ht="23.25">
      <c r="A26" s="12">
        <v>26</v>
      </c>
      <c r="B26" s="13" t="s">
        <v>248</v>
      </c>
      <c r="C26" s="12" t="s">
        <v>9</v>
      </c>
      <c r="D26" s="53">
        <f>IF(D24&gt;D4,D4,D24)</f>
        <v>3429.941520467836</v>
      </c>
    </row>
    <row r="27" spans="1:4" ht="23.25">
      <c r="A27" s="12">
        <v>27</v>
      </c>
      <c r="B27" s="13" t="s">
        <v>249</v>
      </c>
      <c r="C27" s="12" t="s">
        <v>32</v>
      </c>
      <c r="D27" s="53">
        <f>D11+D19-D15/2</f>
        <v>74.25</v>
      </c>
    </row>
    <row r="28" spans="1:4" ht="23.25">
      <c r="A28" s="12">
        <v>28</v>
      </c>
      <c r="B28" s="13" t="s">
        <v>250</v>
      </c>
      <c r="C28" s="12"/>
      <c r="D28" s="53"/>
    </row>
    <row r="29" spans="1:4" ht="23.25">
      <c r="A29" s="12">
        <v>29</v>
      </c>
      <c r="B29" s="13" t="s">
        <v>251</v>
      </c>
      <c r="C29" s="12" t="s">
        <v>160</v>
      </c>
      <c r="D29" s="55">
        <f>(D12*D27-0.85*D3*D17*D5*D22*(D19-D5*D22/2))/D26/(D19-D18)</f>
        <v>74.58694754593299</v>
      </c>
    </row>
    <row r="30" spans="1:4" ht="23.25">
      <c r="A30" s="12">
        <v>30</v>
      </c>
      <c r="B30" s="13" t="s">
        <v>252</v>
      </c>
      <c r="C30" s="12" t="s">
        <v>32</v>
      </c>
      <c r="D30" s="53">
        <f>(D12-D29*DD26-D29*D25)/0.85/D3/D14/D5</f>
        <v>13.080879262755841</v>
      </c>
    </row>
    <row r="31" spans="1:4" ht="23.25">
      <c r="A31" s="12">
        <v>31</v>
      </c>
      <c r="B31" s="13" t="s">
        <v>253</v>
      </c>
      <c r="C31" s="12" t="s">
        <v>32</v>
      </c>
      <c r="D31" s="54">
        <f>D30-D22</f>
        <v>-0.0006207372441586756</v>
      </c>
    </row>
    <row r="32" spans="1:4" ht="23.25">
      <c r="A32" s="12">
        <v>32</v>
      </c>
      <c r="B32" s="13" t="s">
        <v>254</v>
      </c>
      <c r="C32" s="12"/>
      <c r="D32" s="53"/>
    </row>
    <row r="33" spans="1:4" ht="23.25">
      <c r="A33" s="12">
        <v>33</v>
      </c>
      <c r="B33" s="14" t="s">
        <v>257</v>
      </c>
      <c r="C33" s="12"/>
      <c r="D33" s="19">
        <f>2*D29/D20</f>
        <v>0.04661684221620812</v>
      </c>
    </row>
    <row r="34" spans="1:4" ht="23.25">
      <c r="A34" s="12">
        <v>34</v>
      </c>
      <c r="B34" s="14" t="s">
        <v>255</v>
      </c>
      <c r="C34" s="12"/>
      <c r="D34" s="12">
        <f>IF(ABS(D31)&lt;0.001,1,2)</f>
        <v>1</v>
      </c>
    </row>
    <row r="35" spans="1:4" ht="23.25">
      <c r="A35" s="12">
        <v>35</v>
      </c>
      <c r="B35" s="13" t="s">
        <v>258</v>
      </c>
      <c r="C35" s="12" t="s">
        <v>60</v>
      </c>
      <c r="D35" s="12">
        <f>1+INT(D29/1.131)</f>
        <v>66</v>
      </c>
    </row>
    <row r="36" spans="1:4" ht="23.25">
      <c r="A36" s="12">
        <v>36</v>
      </c>
      <c r="B36" s="13" t="s">
        <v>259</v>
      </c>
      <c r="C36" s="12" t="s">
        <v>60</v>
      </c>
      <c r="D36" s="12">
        <f>1+INT(D29/2.01)</f>
        <v>38</v>
      </c>
    </row>
    <row r="37" spans="1:4" ht="23.25">
      <c r="A37" s="12">
        <v>37</v>
      </c>
      <c r="B37" s="13" t="s">
        <v>260</v>
      </c>
      <c r="C37" s="12" t="s">
        <v>60</v>
      </c>
      <c r="D37" s="12">
        <f>1+INT(D29/3.1416)</f>
        <v>24</v>
      </c>
    </row>
    <row r="38" spans="1:4" ht="23.25">
      <c r="A38" s="12">
        <v>38</v>
      </c>
      <c r="B38" s="13" t="s">
        <v>256</v>
      </c>
      <c r="C38" s="12" t="s">
        <v>60</v>
      </c>
      <c r="D38" s="12">
        <f>1+INT(D29/4.909)</f>
        <v>16</v>
      </c>
    </row>
    <row r="39" spans="1:4" ht="23.25">
      <c r="A39" s="12">
        <v>39</v>
      </c>
      <c r="B39" s="13" t="s">
        <v>261</v>
      </c>
      <c r="C39" s="12" t="s">
        <v>60</v>
      </c>
      <c r="D39" s="12">
        <f>1+INT(D29/6.158)</f>
        <v>13</v>
      </c>
    </row>
    <row r="40" spans="1:4" ht="23.25">
      <c r="A40" s="12">
        <v>40</v>
      </c>
      <c r="B40" s="13" t="s">
        <v>262</v>
      </c>
      <c r="C40" s="12" t="s">
        <v>34</v>
      </c>
      <c r="D40" s="61">
        <v>28</v>
      </c>
    </row>
    <row r="41" spans="1:4" ht="23.25">
      <c r="A41" s="12">
        <v>41</v>
      </c>
      <c r="B41" s="13" t="s">
        <v>263</v>
      </c>
      <c r="C41" s="12" t="s">
        <v>34</v>
      </c>
      <c r="D41" s="12">
        <v>10</v>
      </c>
    </row>
    <row r="42" spans="1:4" ht="23.25">
      <c r="A42" s="12">
        <v>42</v>
      </c>
      <c r="B42" s="13" t="s">
        <v>264</v>
      </c>
      <c r="C42" s="12" t="s">
        <v>32</v>
      </c>
      <c r="D42" s="12">
        <f>1.6*D40</f>
        <v>44.800000000000004</v>
      </c>
    </row>
    <row r="43" spans="1:4" ht="23.25">
      <c r="A43" s="12">
        <v>43</v>
      </c>
      <c r="B43" s="13" t="s">
        <v>265</v>
      </c>
      <c r="C43" s="12" t="s">
        <v>32</v>
      </c>
      <c r="D43" s="12">
        <f>4.8*D41</f>
        <v>48</v>
      </c>
    </row>
    <row r="44" spans="1:4" ht="23.25">
      <c r="A44" s="12">
        <v>44</v>
      </c>
      <c r="B44" s="13" t="s">
        <v>266</v>
      </c>
      <c r="C44" s="12" t="s">
        <v>32</v>
      </c>
      <c r="D44" s="12">
        <f>IF(D14&lt;=D15,D14,D15)</f>
        <v>40</v>
      </c>
    </row>
    <row r="45" spans="1:4" ht="23.25">
      <c r="A45" s="12">
        <v>45</v>
      </c>
      <c r="B45" s="13" t="s">
        <v>267</v>
      </c>
      <c r="C45" s="12" t="s">
        <v>32</v>
      </c>
      <c r="D45" s="12">
        <v>45</v>
      </c>
    </row>
    <row r="46" spans="1:4" ht="23.25">
      <c r="A46" s="12">
        <v>46</v>
      </c>
      <c r="B46" s="25" t="s">
        <v>547</v>
      </c>
      <c r="C46" s="12"/>
      <c r="D46" s="12"/>
    </row>
    <row r="47" spans="1:4" ht="23.25">
      <c r="A47" s="16"/>
      <c r="B47" s="17"/>
      <c r="C47" s="16"/>
      <c r="D47" s="16"/>
    </row>
    <row r="48" spans="1:4" ht="23.25">
      <c r="A48" s="16"/>
      <c r="B48" s="17"/>
      <c r="C48" s="16"/>
      <c r="D48" s="16"/>
    </row>
    <row r="49" spans="1:4" ht="23.25">
      <c r="A49" s="16"/>
      <c r="B49" s="17"/>
      <c r="C49" s="16"/>
      <c r="D49" s="16"/>
    </row>
    <row r="50" spans="1:4" ht="23.25">
      <c r="A50" s="16"/>
      <c r="B50" s="17"/>
      <c r="C50" s="16"/>
      <c r="D50" s="16"/>
    </row>
    <row r="51" spans="1:4" ht="23.25">
      <c r="A51" s="16"/>
      <c r="B51" s="17"/>
      <c r="C51" s="16"/>
      <c r="D51" s="16"/>
    </row>
    <row r="52" spans="1:4" ht="23.25">
      <c r="A52" s="16"/>
      <c r="B52" s="17"/>
      <c r="C52" s="16"/>
      <c r="D52" s="16"/>
    </row>
    <row r="53" spans="1:4" ht="23.25">
      <c r="A53" s="16"/>
      <c r="B53" s="17"/>
      <c r="C53" s="16"/>
      <c r="D53" s="16"/>
    </row>
    <row r="54" spans="1:4" ht="23.25">
      <c r="A54" s="16"/>
      <c r="B54" s="17"/>
      <c r="C54" s="16"/>
      <c r="D54" s="16"/>
    </row>
    <row r="55" spans="1:4" ht="23.25">
      <c r="A55" s="16"/>
      <c r="B55" s="17"/>
      <c r="C55" s="16"/>
      <c r="D55" s="16"/>
    </row>
    <row r="56" spans="1:4" ht="23.25">
      <c r="A56" s="16"/>
      <c r="B56" s="17"/>
      <c r="C56" s="16"/>
      <c r="D56" s="16"/>
    </row>
    <row r="57" spans="1:4" ht="23.25">
      <c r="A57" s="16"/>
      <c r="B57" s="17"/>
      <c r="C57" s="16"/>
      <c r="D57" s="16"/>
    </row>
    <row r="58" spans="1:4" ht="23.25">
      <c r="A58" s="16"/>
      <c r="B58" s="17"/>
      <c r="C58" s="16"/>
      <c r="D58" s="16"/>
    </row>
    <row r="59" spans="1:4" ht="23.25">
      <c r="A59" s="16"/>
      <c r="B59" s="17"/>
      <c r="C59" s="16"/>
      <c r="D59" s="16"/>
    </row>
    <row r="60" spans="1:4" ht="23.25">
      <c r="A60" s="16"/>
      <c r="B60" s="17"/>
      <c r="C60" s="16"/>
      <c r="D60" s="16"/>
    </row>
    <row r="61" spans="1:4" ht="23.25">
      <c r="A61" s="16"/>
      <c r="B61" s="17"/>
      <c r="C61" s="16"/>
      <c r="D61" s="16"/>
    </row>
    <row r="62" spans="1:4" ht="23.25">
      <c r="A62" s="16"/>
      <c r="B62" s="17"/>
      <c r="C62" s="16"/>
      <c r="D62" s="16"/>
    </row>
    <row r="63" spans="1:4" ht="23.25">
      <c r="A63" s="16"/>
      <c r="B63" s="17"/>
      <c r="C63" s="16"/>
      <c r="D63" s="16"/>
    </row>
    <row r="64" spans="1:4" ht="23.25">
      <c r="A64" s="16"/>
      <c r="B64" s="17"/>
      <c r="C64" s="16"/>
      <c r="D64" s="16"/>
    </row>
    <row r="65" spans="1:4" ht="23.25">
      <c r="A65" s="16"/>
      <c r="B65" s="17"/>
      <c r="C65" s="16"/>
      <c r="D65" s="16"/>
    </row>
    <row r="66" spans="1:4" ht="23.25">
      <c r="A66" s="16"/>
      <c r="B66" s="17"/>
      <c r="C66" s="16"/>
      <c r="D66" s="16"/>
    </row>
    <row r="67" spans="1:4" ht="23.25">
      <c r="A67" s="16"/>
      <c r="B67" s="17"/>
      <c r="C67" s="16"/>
      <c r="D67" s="16"/>
    </row>
    <row r="68" spans="1:4" ht="23.25">
      <c r="A68" s="16"/>
      <c r="B68" s="17"/>
      <c r="C68" s="16"/>
      <c r="D68" s="16"/>
    </row>
    <row r="69" spans="1:4" ht="23.25">
      <c r="A69" s="16"/>
      <c r="B69" s="17"/>
      <c r="C69" s="16"/>
      <c r="D69" s="16"/>
    </row>
    <row r="70" spans="1:4" ht="23.25">
      <c r="A70" s="16"/>
      <c r="B70" s="17"/>
      <c r="C70" s="16"/>
      <c r="D70" s="16"/>
    </row>
    <row r="71" spans="1:4" ht="23.25">
      <c r="A71" s="16"/>
      <c r="B71" s="17"/>
      <c r="C71" s="16"/>
      <c r="D71" s="16"/>
    </row>
    <row r="72" spans="1:4" ht="23.25">
      <c r="A72" s="16"/>
      <c r="B72" s="17"/>
      <c r="C72" s="16"/>
      <c r="D72" s="16"/>
    </row>
    <row r="73" spans="1:4" ht="23.25">
      <c r="A73" s="16"/>
      <c r="B73" s="17"/>
      <c r="C73" s="16"/>
      <c r="D73" s="16"/>
    </row>
    <row r="74" spans="1:4" ht="23.25">
      <c r="A74" s="16"/>
      <c r="B74" s="17"/>
      <c r="C74" s="16"/>
      <c r="D74" s="16"/>
    </row>
    <row r="75" spans="1:4" ht="23.25">
      <c r="A75" s="16"/>
      <c r="B75" s="17"/>
      <c r="C75" s="16"/>
      <c r="D75" s="16"/>
    </row>
    <row r="76" spans="1:4" ht="23.25">
      <c r="A76" s="16"/>
      <c r="B76" s="17"/>
      <c r="C76" s="16"/>
      <c r="D76" s="16"/>
    </row>
    <row r="77" spans="1:4" ht="23.25">
      <c r="A77" s="16"/>
      <c r="B77" s="17"/>
      <c r="C77" s="16"/>
      <c r="D77" s="16"/>
    </row>
    <row r="78" spans="1:4" ht="23.25">
      <c r="A78" s="16"/>
      <c r="B78" s="17"/>
      <c r="C78" s="16"/>
      <c r="D78" s="16"/>
    </row>
    <row r="79" spans="1:4" ht="23.25">
      <c r="A79" s="16"/>
      <c r="B79" s="17"/>
      <c r="C79" s="16"/>
      <c r="D79" s="16"/>
    </row>
    <row r="80" spans="1:4" ht="23.25">
      <c r="A80" s="16"/>
      <c r="B80" s="17"/>
      <c r="C80" s="16"/>
      <c r="D80" s="16"/>
    </row>
    <row r="81" spans="1:4" ht="23.25">
      <c r="A81" s="16"/>
      <c r="B81" s="17"/>
      <c r="C81" s="16"/>
      <c r="D81" s="16"/>
    </row>
    <row r="82" spans="1:4" ht="23.25">
      <c r="A82" s="16"/>
      <c r="B82" s="17"/>
      <c r="C82" s="16"/>
      <c r="D82" s="16"/>
    </row>
    <row r="83" spans="1:4" ht="23.25">
      <c r="A83" s="16"/>
      <c r="B83" s="17"/>
      <c r="C83" s="16"/>
      <c r="D83" s="16"/>
    </row>
    <row r="84" spans="1:4" ht="23.25">
      <c r="A84" s="16"/>
      <c r="B84" s="17"/>
      <c r="C84" s="16"/>
      <c r="D84" s="16"/>
    </row>
    <row r="85" spans="1:4" ht="23.25">
      <c r="A85" s="16"/>
      <c r="B85" s="17"/>
      <c r="C85" s="16"/>
      <c r="D85" s="16"/>
    </row>
    <row r="86" spans="1:4" ht="23.25">
      <c r="A86" s="16"/>
      <c r="B86" s="17"/>
      <c r="C86" s="16"/>
      <c r="D86" s="16"/>
    </row>
    <row r="87" spans="1:4" ht="23.25">
      <c r="A87" s="16"/>
      <c r="B87" s="17"/>
      <c r="C87" s="16"/>
      <c r="D87" s="16"/>
    </row>
    <row r="88" spans="1:4" ht="23.25">
      <c r="A88" s="16"/>
      <c r="B88" s="17"/>
      <c r="C88" s="16"/>
      <c r="D88" s="16"/>
    </row>
    <row r="89" spans="1:4" ht="23.25">
      <c r="A89" s="16"/>
      <c r="B89" s="17"/>
      <c r="C89" s="16"/>
      <c r="D89" s="16"/>
    </row>
    <row r="90" spans="1:4" ht="23.25">
      <c r="A90" s="16"/>
      <c r="B90" s="17"/>
      <c r="C90" s="16"/>
      <c r="D90" s="16"/>
    </row>
    <row r="91" spans="1:4" ht="23.25">
      <c r="A91" s="16"/>
      <c r="B91" s="17"/>
      <c r="C91" s="16"/>
      <c r="D91" s="16"/>
    </row>
    <row r="92" spans="1:4" ht="23.25">
      <c r="A92" s="16"/>
      <c r="B92" s="17"/>
      <c r="C92" s="16"/>
      <c r="D92" s="16"/>
    </row>
    <row r="93" spans="1:4" ht="23.25">
      <c r="A93" s="16"/>
      <c r="B93" s="17"/>
      <c r="C93" s="16"/>
      <c r="D93" s="16"/>
    </row>
    <row r="94" spans="1:4" ht="23.25">
      <c r="A94" s="16"/>
      <c r="B94" s="17"/>
      <c r="C94" s="16"/>
      <c r="D94" s="16"/>
    </row>
    <row r="95" spans="1:4" ht="23.25">
      <c r="A95" s="16"/>
      <c r="B95" s="17"/>
      <c r="C95" s="16"/>
      <c r="D95" s="16"/>
    </row>
    <row r="96" spans="1:4" ht="23.25">
      <c r="A96" s="16"/>
      <c r="B96" s="17"/>
      <c r="C96" s="16"/>
      <c r="D96" s="16"/>
    </row>
    <row r="97" spans="1:4" ht="23.25">
      <c r="A97" s="16"/>
      <c r="B97" s="17"/>
      <c r="C97" s="16"/>
      <c r="D97" s="16"/>
    </row>
    <row r="98" spans="1:4" ht="23.25">
      <c r="A98" s="16"/>
      <c r="B98" s="17"/>
      <c r="C98" s="16"/>
      <c r="D98" s="16"/>
    </row>
    <row r="99" spans="1:4" ht="23.25">
      <c r="A99" s="16"/>
      <c r="B99" s="17"/>
      <c r="C99" s="16"/>
      <c r="D99" s="16"/>
    </row>
    <row r="100" spans="1:4" ht="23.25">
      <c r="A100" s="16"/>
      <c r="B100" s="17"/>
      <c r="C100" s="16"/>
      <c r="D100" s="16"/>
    </row>
    <row r="101" spans="1:4" ht="23.25">
      <c r="A101" s="16"/>
      <c r="B101" s="17"/>
      <c r="C101" s="16"/>
      <c r="D101" s="16"/>
    </row>
    <row r="102" spans="1:4" ht="23.25">
      <c r="A102" s="16"/>
      <c r="B102" s="17"/>
      <c r="C102" s="16"/>
      <c r="D102" s="16"/>
    </row>
    <row r="103" spans="1:4" ht="23.25">
      <c r="A103" s="16"/>
      <c r="B103" s="17"/>
      <c r="C103" s="16"/>
      <c r="D103" s="1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00390625" style="10" customWidth="1"/>
    <col min="2" max="2" width="54.28125" style="11" customWidth="1"/>
    <col min="3" max="3" width="9.140625" style="10" customWidth="1"/>
    <col min="4" max="4" width="13.7109375" style="11" customWidth="1"/>
    <col min="5" max="16384" width="9.140625" style="11" customWidth="1"/>
  </cols>
  <sheetData>
    <row r="1" spans="1:4" ht="23.25">
      <c r="A1" s="10" t="s">
        <v>0</v>
      </c>
      <c r="B1" s="18" t="s">
        <v>384</v>
      </c>
      <c r="C1" s="18" t="s">
        <v>1</v>
      </c>
      <c r="D1" s="18" t="s">
        <v>2</v>
      </c>
    </row>
    <row r="2" spans="1:4" ht="23.25">
      <c r="A2" s="21" t="s">
        <v>3</v>
      </c>
      <c r="B2" s="19" t="s">
        <v>4</v>
      </c>
      <c r="C2" s="19" t="s">
        <v>5</v>
      </c>
      <c r="D2" s="19" t="s">
        <v>6</v>
      </c>
    </row>
    <row r="3" spans="1:4" ht="23.25">
      <c r="A3" s="16">
        <v>3</v>
      </c>
      <c r="B3" s="14" t="s">
        <v>385</v>
      </c>
      <c r="C3" s="12"/>
      <c r="D3" s="13"/>
    </row>
    <row r="4" spans="1:4" ht="23.25">
      <c r="A4" s="16">
        <v>4</v>
      </c>
      <c r="B4" s="13" t="s">
        <v>8</v>
      </c>
      <c r="C4" s="12" t="s">
        <v>9</v>
      </c>
      <c r="D4" s="62">
        <v>240</v>
      </c>
    </row>
    <row r="5" spans="1:4" ht="23.25">
      <c r="A5" s="16">
        <v>5</v>
      </c>
      <c r="B5" s="13" t="s">
        <v>285</v>
      </c>
      <c r="C5" s="12" t="s">
        <v>9</v>
      </c>
      <c r="D5" s="62">
        <v>3000</v>
      </c>
    </row>
    <row r="6" spans="1:4" ht="23.25">
      <c r="A6" s="16">
        <v>6</v>
      </c>
      <c r="B6" s="13" t="s">
        <v>386</v>
      </c>
      <c r="C6" s="12"/>
      <c r="D6" s="22">
        <f>IF(D4&lt;=280,0.85,IF(D4&gt;560,0.65,0.85-0.05*(D4-280)/70))</f>
        <v>0.85</v>
      </c>
    </row>
    <row r="7" spans="1:4" ht="23.25">
      <c r="A7" s="16">
        <v>7</v>
      </c>
      <c r="B7" s="13" t="s">
        <v>387</v>
      </c>
      <c r="C7" s="12"/>
      <c r="D7" s="13">
        <f>D6*0.85*D4/D5*6120/(6120+D5)</f>
        <v>0.03878684210526315</v>
      </c>
    </row>
    <row r="8" spans="1:4" ht="23.25">
      <c r="A8" s="16">
        <v>8</v>
      </c>
      <c r="B8" s="13" t="s">
        <v>288</v>
      </c>
      <c r="C8" s="12"/>
      <c r="D8" s="13">
        <f>D7*0.75</f>
        <v>0.02909013157894736</v>
      </c>
    </row>
    <row r="9" spans="1:4" ht="23.25">
      <c r="A9" s="16">
        <v>9</v>
      </c>
      <c r="B9" s="13" t="s">
        <v>388</v>
      </c>
      <c r="C9" s="12"/>
      <c r="D9" s="13">
        <f>14/D5</f>
        <v>0.004666666666666667</v>
      </c>
    </row>
    <row r="10" spans="1:4" ht="23.25">
      <c r="A10" s="16">
        <v>10</v>
      </c>
      <c r="B10" s="13" t="s">
        <v>389</v>
      </c>
      <c r="C10" s="12" t="s">
        <v>54</v>
      </c>
      <c r="D10" s="62">
        <v>50000</v>
      </c>
    </row>
    <row r="11" spans="1:4" ht="23.25">
      <c r="A11" s="16">
        <v>11</v>
      </c>
      <c r="B11" s="13" t="s">
        <v>390</v>
      </c>
      <c r="C11" s="12" t="s">
        <v>54</v>
      </c>
      <c r="D11" s="62">
        <v>30000</v>
      </c>
    </row>
    <row r="12" spans="1:4" ht="23.25">
      <c r="A12" s="16">
        <v>12</v>
      </c>
      <c r="B12" s="13" t="s">
        <v>518</v>
      </c>
      <c r="C12" s="12" t="s">
        <v>497</v>
      </c>
      <c r="D12" s="62">
        <v>1690</v>
      </c>
    </row>
    <row r="13" spans="1:4" ht="23.25">
      <c r="A13" s="16">
        <v>13</v>
      </c>
      <c r="B13" s="13" t="s">
        <v>465</v>
      </c>
      <c r="C13" s="12" t="s">
        <v>18</v>
      </c>
      <c r="D13" s="63">
        <v>0.3</v>
      </c>
    </row>
    <row r="14" spans="1:4" ht="23.25">
      <c r="A14" s="16">
        <v>14</v>
      </c>
      <c r="B14" s="13" t="s">
        <v>466</v>
      </c>
      <c r="C14" s="12" t="s">
        <v>18</v>
      </c>
      <c r="D14" s="63">
        <v>0.5</v>
      </c>
    </row>
    <row r="15" spans="1:4" ht="23.25">
      <c r="A15" s="16">
        <v>15</v>
      </c>
      <c r="B15" s="13" t="s">
        <v>472</v>
      </c>
      <c r="C15" s="12" t="s">
        <v>18</v>
      </c>
      <c r="D15" s="63">
        <v>2</v>
      </c>
    </row>
    <row r="16" spans="1:4" ht="23.25">
      <c r="A16" s="16">
        <v>16</v>
      </c>
      <c r="B16" s="13" t="s">
        <v>391</v>
      </c>
      <c r="C16" s="12" t="s">
        <v>293</v>
      </c>
      <c r="D16" s="62">
        <v>10000</v>
      </c>
    </row>
    <row r="17" spans="1:4" ht="23.25">
      <c r="A17" s="16">
        <v>17</v>
      </c>
      <c r="B17" s="13" t="s">
        <v>464</v>
      </c>
      <c r="C17" s="12" t="s">
        <v>293</v>
      </c>
      <c r="D17" s="62">
        <v>25000</v>
      </c>
    </row>
    <row r="18" spans="1:4" ht="23.25">
      <c r="A18" s="16">
        <v>18</v>
      </c>
      <c r="B18" s="13" t="s">
        <v>476</v>
      </c>
      <c r="C18" s="12"/>
      <c r="D18" s="64">
        <v>1.7</v>
      </c>
    </row>
    <row r="19" spans="1:4" ht="23.25">
      <c r="A19" s="16">
        <v>19</v>
      </c>
      <c r="B19" s="13" t="s">
        <v>477</v>
      </c>
      <c r="C19" s="12"/>
      <c r="D19" s="64">
        <v>2</v>
      </c>
    </row>
    <row r="20" spans="1:4" ht="23.25">
      <c r="A20" s="16">
        <v>20</v>
      </c>
      <c r="B20" s="14" t="s">
        <v>467</v>
      </c>
      <c r="C20" s="12"/>
      <c r="D20" s="13"/>
    </row>
    <row r="21" spans="1:4" ht="23.25">
      <c r="A21" s="16">
        <v>21</v>
      </c>
      <c r="B21" s="13" t="s">
        <v>470</v>
      </c>
      <c r="C21" s="12" t="s">
        <v>54</v>
      </c>
      <c r="D21" s="13">
        <f>1.2*(D10+D11)</f>
        <v>96000</v>
      </c>
    </row>
    <row r="22" spans="1:4" ht="23.25">
      <c r="A22" s="16">
        <v>22</v>
      </c>
      <c r="B22" s="13" t="s">
        <v>468</v>
      </c>
      <c r="C22" s="12" t="s">
        <v>469</v>
      </c>
      <c r="D22" s="13">
        <f>D21/D16</f>
        <v>9.6</v>
      </c>
    </row>
    <row r="23" spans="1:4" ht="23.25">
      <c r="A23" s="16">
        <v>23</v>
      </c>
      <c r="B23" s="13" t="s">
        <v>471</v>
      </c>
      <c r="C23" s="12" t="s">
        <v>18</v>
      </c>
      <c r="D23" s="40">
        <f>SQRT(D22)</f>
        <v>3.0983866769659336</v>
      </c>
    </row>
    <row r="24" spans="1:4" ht="23.25">
      <c r="A24" s="16">
        <v>24</v>
      </c>
      <c r="B24" s="13" t="s">
        <v>474</v>
      </c>
      <c r="C24" s="12" t="s">
        <v>18</v>
      </c>
      <c r="D24" s="63">
        <v>4</v>
      </c>
    </row>
    <row r="25" spans="1:4" ht="23.25">
      <c r="A25" s="16">
        <v>25</v>
      </c>
      <c r="B25" s="13" t="s">
        <v>473</v>
      </c>
      <c r="C25" s="12" t="s">
        <v>18</v>
      </c>
      <c r="D25" s="40">
        <f>D22/D24</f>
        <v>2.4</v>
      </c>
    </row>
    <row r="26" spans="1:4" ht="23.25">
      <c r="A26" s="16">
        <v>26</v>
      </c>
      <c r="B26" s="13" t="s">
        <v>475</v>
      </c>
      <c r="C26" s="12" t="s">
        <v>18</v>
      </c>
      <c r="D26" s="63">
        <v>3.5</v>
      </c>
    </row>
    <row r="27" spans="1:4" ht="23.25">
      <c r="A27" s="16">
        <v>27</v>
      </c>
      <c r="B27" s="13" t="s">
        <v>478</v>
      </c>
      <c r="C27" s="12" t="s">
        <v>293</v>
      </c>
      <c r="D27" s="40">
        <f>(D18*D10+D19*D11)/D24/D26</f>
        <v>10357.142857142857</v>
      </c>
    </row>
    <row r="28" spans="1:4" ht="23.25">
      <c r="A28" s="16">
        <v>28</v>
      </c>
      <c r="B28" s="14" t="s">
        <v>479</v>
      </c>
      <c r="C28" s="12"/>
      <c r="D28" s="13"/>
    </row>
    <row r="29" spans="1:4" ht="23.25">
      <c r="A29" s="16">
        <v>29</v>
      </c>
      <c r="B29" s="13" t="s">
        <v>480</v>
      </c>
      <c r="C29" s="12" t="s">
        <v>54</v>
      </c>
      <c r="D29" s="40">
        <f>D27*D26*(D24-D13)/2</f>
        <v>67062.5</v>
      </c>
    </row>
    <row r="30" spans="1:4" ht="23.25">
      <c r="A30" s="16">
        <v>30</v>
      </c>
      <c r="B30" s="13" t="s">
        <v>481</v>
      </c>
      <c r="C30" s="12" t="s">
        <v>52</v>
      </c>
      <c r="D30" s="13">
        <f>D29*4/(D24-D13)</f>
        <v>72500</v>
      </c>
    </row>
    <row r="31" spans="1:4" ht="23.25">
      <c r="A31" s="16">
        <v>31</v>
      </c>
      <c r="B31" s="13" t="s">
        <v>482</v>
      </c>
      <c r="C31" s="12" t="s">
        <v>54</v>
      </c>
      <c r="D31" s="40">
        <f>D27*D24*(D26-D14)/2</f>
        <v>62142.857142857145</v>
      </c>
    </row>
    <row r="32" spans="1:4" ht="23.25">
      <c r="A32" s="16">
        <v>32</v>
      </c>
      <c r="B32" s="13" t="s">
        <v>483</v>
      </c>
      <c r="C32" s="12" t="s">
        <v>52</v>
      </c>
      <c r="D32" s="40">
        <f>D31*4/(D26-D14)</f>
        <v>82857.14285714286</v>
      </c>
    </row>
    <row r="33" spans="1:4" ht="23.25">
      <c r="A33" s="16">
        <v>33</v>
      </c>
      <c r="B33" s="13" t="s">
        <v>484</v>
      </c>
      <c r="C33" s="12"/>
      <c r="D33" s="13">
        <f>D9</f>
        <v>0.004666666666666667</v>
      </c>
    </row>
    <row r="34" spans="1:4" ht="23.25">
      <c r="A34" s="16">
        <v>34</v>
      </c>
      <c r="B34" s="13" t="s">
        <v>489</v>
      </c>
      <c r="C34" s="12" t="s">
        <v>9</v>
      </c>
      <c r="D34" s="40">
        <f>D33*D5*(1-0.59*D33*D5/D4)</f>
        <v>13.51816666666667</v>
      </c>
    </row>
    <row r="35" spans="1:4" ht="23.25">
      <c r="A35" s="16">
        <v>35</v>
      </c>
      <c r="B35" s="13" t="s">
        <v>485</v>
      </c>
      <c r="C35" s="12" t="s">
        <v>32</v>
      </c>
      <c r="D35" s="41">
        <f>SQRT(D30/0.9/D34/D26)</f>
        <v>41.26243261435742</v>
      </c>
    </row>
    <row r="36" spans="1:4" ht="23.25">
      <c r="A36" s="16">
        <v>36</v>
      </c>
      <c r="B36" s="13" t="s">
        <v>486</v>
      </c>
      <c r="C36" s="12" t="s">
        <v>32</v>
      </c>
      <c r="D36" s="41">
        <f>SQRT(D32/0.9/D34/D24)</f>
        <v>41.262432614357415</v>
      </c>
    </row>
    <row r="37" spans="1:4" ht="23.25">
      <c r="A37" s="16">
        <v>37</v>
      </c>
      <c r="B37" s="13" t="s">
        <v>487</v>
      </c>
      <c r="C37" s="12"/>
      <c r="D37" s="13">
        <f>D8</f>
        <v>0.02909013157894736</v>
      </c>
    </row>
    <row r="38" spans="1:4" ht="23.25">
      <c r="A38" s="16">
        <v>38</v>
      </c>
      <c r="B38" s="13" t="s">
        <v>488</v>
      </c>
      <c r="C38" s="12" t="s">
        <v>9</v>
      </c>
      <c r="D38" s="40">
        <f>D37*D5*(1-0.59*D37*D5/D4)</f>
        <v>68.54742865126167</v>
      </c>
    </row>
    <row r="39" spans="1:4" ht="23.25">
      <c r="A39" s="16">
        <v>39</v>
      </c>
      <c r="B39" s="13" t="s">
        <v>490</v>
      </c>
      <c r="C39" s="12" t="s">
        <v>32</v>
      </c>
      <c r="D39" s="41">
        <f>SQRT(D30/0.9/D38/D26)</f>
        <v>18.32390967398191</v>
      </c>
    </row>
    <row r="40" spans="1:4" ht="23.25">
      <c r="A40" s="16">
        <v>40</v>
      </c>
      <c r="B40" s="13" t="s">
        <v>491</v>
      </c>
      <c r="C40" s="12" t="s">
        <v>32</v>
      </c>
      <c r="D40" s="41">
        <f>SQRT(D32/0.9/D38/D24)</f>
        <v>18.323909673981913</v>
      </c>
    </row>
    <row r="41" spans="1:4" ht="23.25">
      <c r="A41" s="16">
        <v>41</v>
      </c>
      <c r="B41" s="13" t="s">
        <v>492</v>
      </c>
      <c r="C41" s="12" t="s">
        <v>32</v>
      </c>
      <c r="D41" s="62">
        <v>7.5</v>
      </c>
    </row>
    <row r="42" spans="1:4" ht="23.25">
      <c r="A42" s="16">
        <v>42</v>
      </c>
      <c r="B42" s="13" t="s">
        <v>493</v>
      </c>
      <c r="C42" s="12" t="s">
        <v>34</v>
      </c>
      <c r="D42" s="62">
        <v>16</v>
      </c>
    </row>
    <row r="43" spans="1:4" ht="23.25">
      <c r="A43" s="16">
        <v>43</v>
      </c>
      <c r="B43" s="13" t="s">
        <v>494</v>
      </c>
      <c r="C43" s="12" t="s">
        <v>32</v>
      </c>
      <c r="D43" s="13">
        <f>D41+D42/20</f>
        <v>8.3</v>
      </c>
    </row>
    <row r="44" spans="1:4" ht="23.25">
      <c r="A44" s="16">
        <v>44</v>
      </c>
      <c r="B44" s="13" t="s">
        <v>495</v>
      </c>
      <c r="C44" s="12" t="s">
        <v>32</v>
      </c>
      <c r="D44" s="62">
        <v>41.7</v>
      </c>
    </row>
    <row r="45" spans="1:4" ht="23.25">
      <c r="A45" s="16">
        <v>45</v>
      </c>
      <c r="B45" s="13" t="s">
        <v>496</v>
      </c>
      <c r="C45" s="12" t="s">
        <v>18</v>
      </c>
      <c r="D45" s="22">
        <f>(D43+D44)/100</f>
        <v>0.5</v>
      </c>
    </row>
    <row r="46" spans="1:4" ht="23.25">
      <c r="A46" s="16">
        <v>46</v>
      </c>
      <c r="B46" s="14" t="s">
        <v>498</v>
      </c>
      <c r="C46" s="12"/>
      <c r="D46" s="13"/>
    </row>
    <row r="47" spans="1:4" ht="23.25">
      <c r="A47" s="16">
        <v>47</v>
      </c>
      <c r="B47" s="13" t="s">
        <v>499</v>
      </c>
      <c r="C47" s="12" t="s">
        <v>54</v>
      </c>
      <c r="D47" s="41">
        <f>D27*(D26*D24-(D13+D44/100)*(D14+D44/100))</f>
        <v>138190.2925</v>
      </c>
    </row>
    <row r="48" spans="1:4" ht="23.25">
      <c r="A48" s="16">
        <v>48</v>
      </c>
      <c r="B48" s="13" t="s">
        <v>500</v>
      </c>
      <c r="C48" s="12" t="s">
        <v>32</v>
      </c>
      <c r="D48" s="13">
        <f>200*(D13+D14)+4*D44</f>
        <v>326.8</v>
      </c>
    </row>
    <row r="49" spans="1:4" ht="23.25">
      <c r="A49" s="16">
        <v>49</v>
      </c>
      <c r="B49" s="13" t="s">
        <v>501</v>
      </c>
      <c r="C49" s="12"/>
      <c r="D49" s="40">
        <f>IF(D13&gt;D14,D13/D14,D14/D13)</f>
        <v>1.6666666666666667</v>
      </c>
    </row>
    <row r="50" spans="1:4" ht="23.25">
      <c r="A50" s="16">
        <v>50</v>
      </c>
      <c r="B50" s="13" t="s">
        <v>502</v>
      </c>
      <c r="C50" s="12"/>
      <c r="D50" s="62">
        <v>40</v>
      </c>
    </row>
    <row r="51" spans="1:4" ht="23.25">
      <c r="A51" s="16">
        <v>51</v>
      </c>
      <c r="B51" s="13" t="s">
        <v>503</v>
      </c>
      <c r="C51" s="12" t="s">
        <v>54</v>
      </c>
      <c r="D51" s="40">
        <f>0.29*(2+4/D49)*SQRT(D4)*D48*D44</f>
        <v>269385.61319187377</v>
      </c>
    </row>
    <row r="52" spans="1:4" ht="23.25">
      <c r="A52" s="16">
        <v>52</v>
      </c>
      <c r="B52" s="13" t="s">
        <v>504</v>
      </c>
      <c r="C52" s="12" t="s">
        <v>54</v>
      </c>
      <c r="D52" s="40">
        <f>0.27*(D50*D44/D48+2)*SQRT(D4)*D44*D48</f>
        <v>404942.01079789735</v>
      </c>
    </row>
    <row r="53" spans="1:4" ht="23.25">
      <c r="A53" s="16">
        <v>53</v>
      </c>
      <c r="B53" s="13" t="s">
        <v>505</v>
      </c>
      <c r="C53" s="12" t="s">
        <v>54</v>
      </c>
      <c r="D53" s="41">
        <f>IF(D49&gt;2,0.85*D51,0.85*D52)</f>
        <v>344200.70917821274</v>
      </c>
    </row>
    <row r="54" spans="1:4" ht="23.25">
      <c r="A54" s="16">
        <v>54</v>
      </c>
      <c r="B54" s="15" t="s">
        <v>506</v>
      </c>
      <c r="C54" s="12"/>
      <c r="D54" s="14">
        <f>IF(D53&gt;D47,1,2)</f>
        <v>1</v>
      </c>
    </row>
    <row r="55" spans="1:4" ht="23.25">
      <c r="A55" s="16">
        <v>55</v>
      </c>
      <c r="B55" s="15" t="s">
        <v>507</v>
      </c>
      <c r="C55" s="12"/>
      <c r="D55" s="13"/>
    </row>
    <row r="56" spans="1:4" ht="23.25">
      <c r="A56" s="16">
        <v>56</v>
      </c>
      <c r="B56" s="14" t="s">
        <v>508</v>
      </c>
      <c r="C56" s="12"/>
      <c r="D56" s="13"/>
    </row>
    <row r="57" spans="1:4" ht="23.25">
      <c r="A57" s="16">
        <v>57</v>
      </c>
      <c r="B57" s="13" t="s">
        <v>509</v>
      </c>
      <c r="C57" s="12" t="s">
        <v>54</v>
      </c>
      <c r="D57" s="40">
        <f>D27*D26*(D24/2-D13/2-D44/100)</f>
        <v>51946.25</v>
      </c>
    </row>
    <row r="58" spans="1:4" ht="23.25">
      <c r="A58" s="16">
        <v>58</v>
      </c>
      <c r="B58" s="13" t="s">
        <v>510</v>
      </c>
      <c r="C58" s="12" t="s">
        <v>54</v>
      </c>
      <c r="D58" s="40">
        <f>D27*D24*(D26/2-D14/2-D44/100)</f>
        <v>44867.142857142855</v>
      </c>
    </row>
    <row r="59" spans="1:4" ht="23.25">
      <c r="A59" s="16">
        <v>59</v>
      </c>
      <c r="B59" s="13" t="s">
        <v>511</v>
      </c>
      <c r="C59" s="12" t="s">
        <v>54</v>
      </c>
      <c r="D59" s="40">
        <f>0.85*0.53*SQRT(D4)*D26*100*D44</f>
        <v>101860.19787209085</v>
      </c>
    </row>
    <row r="60" spans="1:4" ht="23.25">
      <c r="A60" s="16">
        <v>60</v>
      </c>
      <c r="B60" s="13" t="s">
        <v>512</v>
      </c>
      <c r="C60" s="12" t="s">
        <v>54</v>
      </c>
      <c r="D60" s="40">
        <f>0.85*0.53*SQRT(D4)*D24*100*D44</f>
        <v>116411.65471096098</v>
      </c>
    </row>
    <row r="61" spans="1:4" ht="23.25">
      <c r="A61" s="16">
        <v>61</v>
      </c>
      <c r="B61" s="15" t="s">
        <v>513</v>
      </c>
      <c r="C61" s="12"/>
      <c r="D61" s="14">
        <f>IF(D57&lt;D59,1,2)</f>
        <v>1</v>
      </c>
    </row>
    <row r="62" spans="1:4" ht="23.25">
      <c r="A62" s="16">
        <v>62</v>
      </c>
      <c r="B62" s="15" t="s">
        <v>514</v>
      </c>
      <c r="C62" s="12"/>
      <c r="D62" s="14">
        <f>IF(D58&lt;D60,1,2)</f>
        <v>1</v>
      </c>
    </row>
    <row r="63" spans="1:4" ht="23.25">
      <c r="A63" s="16">
        <v>63</v>
      </c>
      <c r="B63" s="15" t="s">
        <v>507</v>
      </c>
      <c r="C63" s="12"/>
      <c r="D63" s="13"/>
    </row>
    <row r="64" spans="1:4" ht="23.25">
      <c r="A64" s="16">
        <v>64</v>
      </c>
      <c r="B64" s="14" t="s">
        <v>515</v>
      </c>
      <c r="C64" s="12"/>
      <c r="D64" s="13"/>
    </row>
    <row r="65" spans="1:4" ht="23.25">
      <c r="A65" s="16">
        <v>65</v>
      </c>
      <c r="B65" s="13" t="s">
        <v>521</v>
      </c>
      <c r="C65" s="12" t="s">
        <v>54</v>
      </c>
      <c r="D65" s="13">
        <f>D10+D11</f>
        <v>80000</v>
      </c>
    </row>
    <row r="66" spans="1:4" ht="23.25">
      <c r="A66" s="16">
        <v>66</v>
      </c>
      <c r="B66" s="13" t="s">
        <v>516</v>
      </c>
      <c r="C66" s="12" t="s">
        <v>54</v>
      </c>
      <c r="D66" s="13">
        <f>2400*D24*D26*D45</f>
        <v>16800</v>
      </c>
    </row>
    <row r="67" spans="1:4" ht="23.25">
      <c r="A67" s="16">
        <v>67</v>
      </c>
      <c r="B67" s="13" t="s">
        <v>517</v>
      </c>
      <c r="C67" s="12" t="s">
        <v>54</v>
      </c>
      <c r="D67" s="13">
        <f>2400*D13*D14*(D15-D45)</f>
        <v>540</v>
      </c>
    </row>
    <row r="68" spans="1:4" ht="23.25">
      <c r="A68" s="16">
        <v>68</v>
      </c>
      <c r="B68" s="13" t="s">
        <v>519</v>
      </c>
      <c r="C68" s="12" t="s">
        <v>54</v>
      </c>
      <c r="D68" s="13">
        <f>D12*(D24*D26-D13*D14)*(D15-D45)</f>
        <v>35109.75</v>
      </c>
    </row>
    <row r="69" spans="1:4" ht="23.25">
      <c r="A69" s="16">
        <v>69</v>
      </c>
      <c r="B69" s="13" t="s">
        <v>520</v>
      </c>
      <c r="C69" s="12" t="s">
        <v>54</v>
      </c>
      <c r="D69" s="13">
        <f>D65+D66+D67+D68</f>
        <v>132449.75</v>
      </c>
    </row>
    <row r="70" spans="1:4" ht="23.25">
      <c r="A70" s="16">
        <v>70</v>
      </c>
      <c r="B70" s="13" t="s">
        <v>522</v>
      </c>
      <c r="C70" s="12" t="s">
        <v>293</v>
      </c>
      <c r="D70" s="42">
        <f>D69/D24/D26</f>
        <v>9460.69642857143</v>
      </c>
    </row>
    <row r="71" spans="1:4" ht="23.25">
      <c r="A71" s="16">
        <v>71</v>
      </c>
      <c r="B71" s="15" t="s">
        <v>523</v>
      </c>
      <c r="C71" s="12"/>
      <c r="D71" s="14">
        <f>IF(D70&lt;D16,1,2)</f>
        <v>1</v>
      </c>
    </row>
    <row r="72" spans="1:4" ht="23.25">
      <c r="A72" s="16">
        <v>72</v>
      </c>
      <c r="B72" s="15" t="s">
        <v>524</v>
      </c>
      <c r="C72" s="12"/>
      <c r="D72" s="13"/>
    </row>
    <row r="73" spans="1:4" ht="23.25">
      <c r="A73" s="16">
        <v>73</v>
      </c>
      <c r="B73" s="14" t="s">
        <v>525</v>
      </c>
      <c r="C73" s="12"/>
      <c r="D73" s="13"/>
    </row>
    <row r="74" spans="1:4" ht="23.25">
      <c r="A74" s="16">
        <v>74</v>
      </c>
      <c r="B74" s="13" t="s">
        <v>526</v>
      </c>
      <c r="C74" s="12" t="s">
        <v>9</v>
      </c>
      <c r="D74" s="13">
        <f>D30/0.9/D26/D44^2</f>
        <v>13.235956855162208</v>
      </c>
    </row>
    <row r="75" spans="1:4" ht="23.25">
      <c r="A75" s="16">
        <v>75</v>
      </c>
      <c r="B75" s="13" t="s">
        <v>527</v>
      </c>
      <c r="C75" s="12"/>
      <c r="D75" s="13">
        <f>0.85*D4/D5*(1-SQRT(1-2*D74/0.85/D4))</f>
        <v>0.004565230701930398</v>
      </c>
    </row>
    <row r="76" spans="1:4" ht="23.25">
      <c r="A76" s="16">
        <v>76</v>
      </c>
      <c r="B76" s="13" t="s">
        <v>528</v>
      </c>
      <c r="C76" s="12"/>
      <c r="D76" s="13">
        <f>IF(D75&gt;D9,D75,D9)</f>
        <v>0.004666666666666667</v>
      </c>
    </row>
    <row r="77" spans="1:4" ht="23.25">
      <c r="A77" s="16">
        <v>77</v>
      </c>
      <c r="B77" s="13" t="s">
        <v>529</v>
      </c>
      <c r="C77" s="12" t="s">
        <v>160</v>
      </c>
      <c r="D77" s="13">
        <f>D76*D26*100*D44</f>
        <v>68.11000000000001</v>
      </c>
    </row>
    <row r="78" spans="1:4" ht="23.25">
      <c r="A78" s="16">
        <v>78</v>
      </c>
      <c r="B78" s="13" t="s">
        <v>530</v>
      </c>
      <c r="C78" s="12" t="s">
        <v>160</v>
      </c>
      <c r="D78" s="22">
        <f>3.1415926/4*(D42/10)^2</f>
        <v>2.0106192640000002</v>
      </c>
    </row>
    <row r="79" spans="1:4" ht="23.25">
      <c r="A79" s="16">
        <v>79</v>
      </c>
      <c r="B79" s="13" t="s">
        <v>531</v>
      </c>
      <c r="C79" s="12" t="s">
        <v>60</v>
      </c>
      <c r="D79" s="13">
        <f>1+INT(D77/D78)</f>
        <v>34</v>
      </c>
    </row>
    <row r="80" spans="1:4" ht="23.25">
      <c r="A80" s="16">
        <v>80</v>
      </c>
      <c r="B80" s="13" t="s">
        <v>532</v>
      </c>
      <c r="C80" s="12" t="s">
        <v>9</v>
      </c>
      <c r="D80" s="13">
        <f>D32/0.9/D24/D44^2</f>
        <v>13.235956855162208</v>
      </c>
    </row>
    <row r="81" spans="1:4" ht="23.25">
      <c r="A81" s="16">
        <v>81</v>
      </c>
      <c r="B81" s="13" t="s">
        <v>533</v>
      </c>
      <c r="C81" s="12"/>
      <c r="D81" s="13">
        <f>0.85*D4/D5*(1-SQRT(1-2*D80/0.85/D4))</f>
        <v>0.004565230701930398</v>
      </c>
    </row>
    <row r="82" spans="1:4" ht="23.25">
      <c r="A82" s="16">
        <v>82</v>
      </c>
      <c r="B82" s="13" t="s">
        <v>528</v>
      </c>
      <c r="C82" s="12"/>
      <c r="D82" s="13">
        <f>IF(D81&gt;D9,D81,D9)</f>
        <v>0.004666666666666667</v>
      </c>
    </row>
    <row r="83" spans="1:4" ht="23.25">
      <c r="A83" s="16">
        <v>83</v>
      </c>
      <c r="B83" s="13" t="s">
        <v>534</v>
      </c>
      <c r="C83" s="12" t="s">
        <v>160</v>
      </c>
      <c r="D83" s="13">
        <f>D82*D24*100*D44</f>
        <v>77.84000000000002</v>
      </c>
    </row>
    <row r="84" spans="1:4" ht="23.25">
      <c r="A84" s="16">
        <v>84</v>
      </c>
      <c r="B84" s="13" t="s">
        <v>531</v>
      </c>
      <c r="C84" s="12" t="s">
        <v>60</v>
      </c>
      <c r="D84" s="13">
        <f>1+INT(D83/D78)</f>
        <v>39</v>
      </c>
    </row>
    <row r="85" spans="1:4" ht="23.25">
      <c r="A85" s="16">
        <v>85</v>
      </c>
      <c r="B85" s="13" t="s">
        <v>537</v>
      </c>
      <c r="C85" s="12" t="s">
        <v>32</v>
      </c>
      <c r="D85" s="40">
        <f>0.06*D78*D5/SQRT(D4)</f>
        <v>23.361284775107443</v>
      </c>
    </row>
    <row r="86" spans="1:4" ht="23.25">
      <c r="A86" s="16">
        <v>86</v>
      </c>
      <c r="B86" s="13" t="s">
        <v>535</v>
      </c>
      <c r="C86" s="12" t="s">
        <v>32</v>
      </c>
      <c r="D86" s="13">
        <f>50*D24-50*D13-D41</f>
        <v>177.5</v>
      </c>
    </row>
    <row r="87" spans="1:4" ht="23.25">
      <c r="A87" s="16">
        <v>87</v>
      </c>
      <c r="B87" s="13" t="s">
        <v>536</v>
      </c>
      <c r="C87" s="12" t="s">
        <v>32</v>
      </c>
      <c r="D87" s="13">
        <f>50*D26-50*D14-D41</f>
        <v>142.5</v>
      </c>
    </row>
    <row r="88" spans="1:4" ht="23.25">
      <c r="A88" s="16">
        <v>88</v>
      </c>
      <c r="B88" s="13" t="s">
        <v>538</v>
      </c>
      <c r="C88" s="12"/>
      <c r="D8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I5" sqref="I5"/>
    </sheetView>
  </sheetViews>
  <sheetFormatPr defaultColWidth="5.00390625" defaultRowHeight="12.75"/>
  <cols>
    <col min="1" max="16384" width="5.00390625" style="10" customWidth="1"/>
  </cols>
  <sheetData>
    <row r="1" ht="23.25">
      <c r="A1" s="10" t="s">
        <v>393</v>
      </c>
    </row>
    <row r="2" spans="1:6" ht="23.25">
      <c r="A2" s="10" t="s">
        <v>394</v>
      </c>
      <c r="B2" s="10" t="s">
        <v>395</v>
      </c>
      <c r="C2" s="10" t="s">
        <v>396</v>
      </c>
      <c r="D2" s="10" t="s">
        <v>397</v>
      </c>
      <c r="E2" s="10" t="s">
        <v>398</v>
      </c>
      <c r="F2" s="10">
        <v>1</v>
      </c>
    </row>
    <row r="3" spans="1:5" ht="23.25">
      <c r="A3" s="10" t="s">
        <v>399</v>
      </c>
      <c r="B3" s="10" t="s">
        <v>400</v>
      </c>
      <c r="C3" s="10" t="s">
        <v>401</v>
      </c>
      <c r="D3" s="10" t="s">
        <v>402</v>
      </c>
      <c r="E3" s="10">
        <v>2</v>
      </c>
    </row>
    <row r="4" spans="1:5" ht="23.25">
      <c r="A4" s="10" t="s">
        <v>403</v>
      </c>
      <c r="B4" s="10" t="s">
        <v>404</v>
      </c>
      <c r="C4" s="10" t="s">
        <v>405</v>
      </c>
      <c r="D4" s="10" t="s">
        <v>406</v>
      </c>
      <c r="E4" s="10">
        <v>3</v>
      </c>
    </row>
    <row r="5" spans="1:7" ht="23.25">
      <c r="A5" s="10" t="s">
        <v>407</v>
      </c>
      <c r="B5" s="10" t="s">
        <v>408</v>
      </c>
      <c r="C5" s="10" t="s">
        <v>409</v>
      </c>
      <c r="D5" s="10" t="s">
        <v>410</v>
      </c>
      <c r="E5" s="10" t="s">
        <v>411</v>
      </c>
      <c r="F5" s="10" t="s">
        <v>412</v>
      </c>
      <c r="G5" s="10">
        <v>4</v>
      </c>
    </row>
    <row r="6" spans="1:6" ht="23.25">
      <c r="A6" s="10" t="s">
        <v>413</v>
      </c>
      <c r="B6" s="10" t="s">
        <v>414</v>
      </c>
      <c r="C6" s="10" t="s">
        <v>415</v>
      </c>
      <c r="D6" s="10" t="s">
        <v>416</v>
      </c>
      <c r="E6" s="10" t="s">
        <v>417</v>
      </c>
      <c r="F6" s="10">
        <v>5</v>
      </c>
    </row>
    <row r="7" spans="1:6" ht="23.25">
      <c r="A7" s="10" t="s">
        <v>418</v>
      </c>
      <c r="B7" s="10" t="s">
        <v>419</v>
      </c>
      <c r="C7" s="10" t="s">
        <v>420</v>
      </c>
      <c r="D7" s="10" t="s">
        <v>421</v>
      </c>
      <c r="E7" s="10" t="s">
        <v>422</v>
      </c>
      <c r="F7" s="10">
        <v>6</v>
      </c>
    </row>
    <row r="8" spans="1:6" ht="23.25">
      <c r="A8" s="10" t="s">
        <v>423</v>
      </c>
      <c r="B8" s="10" t="s">
        <v>424</v>
      </c>
      <c r="C8" s="10" t="s">
        <v>425</v>
      </c>
      <c r="D8" s="10" t="s">
        <v>426</v>
      </c>
      <c r="E8" s="10" t="s">
        <v>427</v>
      </c>
      <c r="F8" s="10">
        <v>7</v>
      </c>
    </row>
    <row r="9" spans="1:8" ht="23.25">
      <c r="A9" s="10" t="s">
        <v>428</v>
      </c>
      <c r="B9" s="10" t="s">
        <v>429</v>
      </c>
      <c r="C9" s="10" t="s">
        <v>430</v>
      </c>
      <c r="D9" s="10" t="s">
        <v>431</v>
      </c>
      <c r="E9" s="10" t="s">
        <v>432</v>
      </c>
      <c r="F9" s="10" t="s">
        <v>433</v>
      </c>
      <c r="G9" s="10" t="s">
        <v>434</v>
      </c>
      <c r="H9" s="10">
        <v>8</v>
      </c>
    </row>
    <row r="10" spans="1:6" ht="23.25">
      <c r="A10" s="10" t="s">
        <v>435</v>
      </c>
      <c r="B10" s="10" t="s">
        <v>436</v>
      </c>
      <c r="C10" s="10" t="s">
        <v>437</v>
      </c>
      <c r="D10" s="10" t="s">
        <v>438</v>
      </c>
      <c r="E10" s="10" t="s">
        <v>439</v>
      </c>
      <c r="F10" s="10">
        <v>9</v>
      </c>
    </row>
    <row r="11" spans="1:16" ht="23.25">
      <c r="A11" s="10" t="s">
        <v>451</v>
      </c>
      <c r="B11" s="10" t="s">
        <v>452</v>
      </c>
      <c r="C11" s="10" t="s">
        <v>453</v>
      </c>
      <c r="D11" s="10" t="s">
        <v>454</v>
      </c>
      <c r="E11" s="10" t="s">
        <v>455</v>
      </c>
      <c r="F11" s="10" t="s">
        <v>456</v>
      </c>
      <c r="G11" s="10" t="s">
        <v>457</v>
      </c>
      <c r="H11" s="10" t="s">
        <v>458</v>
      </c>
      <c r="I11" s="10" t="s">
        <v>459</v>
      </c>
      <c r="J11" s="10" t="s">
        <v>460</v>
      </c>
      <c r="K11" s="10" t="s">
        <v>461</v>
      </c>
      <c r="L11" s="10" t="s">
        <v>462</v>
      </c>
      <c r="M11" s="10" t="s">
        <v>463</v>
      </c>
      <c r="N11" s="10" t="s">
        <v>440</v>
      </c>
      <c r="O11" s="10" t="s">
        <v>441</v>
      </c>
      <c r="P11" s="10" t="s">
        <v>442</v>
      </c>
    </row>
    <row r="12" spans="1:8" ht="23.25">
      <c r="A12" s="10" t="s">
        <v>443</v>
      </c>
      <c r="B12" s="10" t="s">
        <v>444</v>
      </c>
      <c r="C12" s="10" t="s">
        <v>447</v>
      </c>
      <c r="D12" s="10" t="s">
        <v>446</v>
      </c>
      <c r="E12" s="10" t="s">
        <v>445</v>
      </c>
      <c r="F12" s="10" t="s">
        <v>448</v>
      </c>
      <c r="G12" s="10" t="s">
        <v>449</v>
      </c>
      <c r="H12" s="10" t="s">
        <v>450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Personal</cp:lastModifiedBy>
  <cp:lastPrinted>2007-03-12T17:13:12Z</cp:lastPrinted>
  <dcterms:created xsi:type="dcterms:W3CDTF">2007-02-11T12:36:18Z</dcterms:created>
  <dcterms:modified xsi:type="dcterms:W3CDTF">2010-03-19T03:16:41Z</dcterms:modified>
  <cp:category/>
  <cp:version/>
  <cp:contentType/>
  <cp:contentStatus/>
</cp:coreProperties>
</file>