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0115" windowHeight="7425" activeTab="1"/>
  </bookViews>
  <sheets>
    <sheet name="วิธีใช้งาน" sheetId="3" r:id="rId1"/>
    <sheet name="มยผ.1302,กทม,ปริมณทล" sheetId="2" r:id="rId2"/>
    <sheet name="มยผ.1301-55" sheetId="1" r:id="rId3"/>
    <sheet name="มยผ.1302,ต่างจังหวัด" sheetId="4" r:id="rId4"/>
    <sheet name="Sheet1" sheetId="6" r:id="rId5"/>
  </sheets>
  <definedNames>
    <definedName name="_xlnm.Print_Area" localSheetId="4">Sheet1!$A$1:$U$193</definedName>
    <definedName name="_xlnm.Print_Area" localSheetId="2">'มยผ.1301-55'!$A$1:$K$207</definedName>
    <definedName name="_xlnm.Print_Area" localSheetId="1">'มยผ.1302,กทม,ปริมณทล'!$A$1:$K$340</definedName>
    <definedName name="_xlnm.Print_Area" localSheetId="3">'มยผ.1302,ต่างจังหวัด'!$A$1:$K$62</definedName>
  </definedNames>
  <calcPr calcId="145621"/>
</workbook>
</file>

<file path=xl/calcChain.xml><?xml version="1.0" encoding="utf-8"?>
<calcChain xmlns="http://schemas.openxmlformats.org/spreadsheetml/2006/main">
  <c r="S192" i="6" l="1"/>
  <c r="R192" i="6"/>
  <c r="Q192" i="6"/>
  <c r="P192" i="6"/>
  <c r="O192" i="6"/>
  <c r="N192" i="6"/>
  <c r="T192" i="6" s="1"/>
  <c r="H192" i="6"/>
  <c r="G192" i="6"/>
  <c r="F192" i="6"/>
  <c r="E192" i="6"/>
  <c r="D192" i="6"/>
  <c r="C192" i="6"/>
  <c r="I192" i="6" s="1"/>
  <c r="T191" i="6"/>
  <c r="I191" i="6"/>
  <c r="S187" i="6"/>
  <c r="R187" i="6"/>
  <c r="Q187" i="6"/>
  <c r="P187" i="6"/>
  <c r="O187" i="6"/>
  <c r="N187" i="6"/>
  <c r="T187" i="6" s="1"/>
  <c r="H187" i="6"/>
  <c r="G187" i="6"/>
  <c r="F187" i="6"/>
  <c r="E187" i="6"/>
  <c r="D187" i="6"/>
  <c r="C187" i="6"/>
  <c r="I187" i="6" s="1"/>
  <c r="T185" i="6"/>
  <c r="I185" i="6"/>
  <c r="S182" i="6"/>
  <c r="R182" i="6"/>
  <c r="Q182" i="6"/>
  <c r="P182" i="6"/>
  <c r="O182" i="6"/>
  <c r="N182" i="6"/>
  <c r="T182" i="6" s="1"/>
  <c r="H182" i="6"/>
  <c r="G182" i="6"/>
  <c r="F182" i="6"/>
  <c r="E182" i="6"/>
  <c r="D182" i="6"/>
  <c r="C182" i="6"/>
  <c r="I182" i="6" s="1"/>
  <c r="T180" i="6"/>
  <c r="I180" i="6"/>
  <c r="S177" i="6"/>
  <c r="R177" i="6"/>
  <c r="Q177" i="6"/>
  <c r="P177" i="6"/>
  <c r="O177" i="6"/>
  <c r="N177" i="6"/>
  <c r="T177" i="6" s="1"/>
  <c r="H177" i="6"/>
  <c r="G177" i="6"/>
  <c r="F177" i="6"/>
  <c r="E177" i="6"/>
  <c r="D177" i="6"/>
  <c r="C177" i="6"/>
  <c r="I177" i="6" s="1"/>
  <c r="T175" i="6"/>
  <c r="I175" i="6"/>
  <c r="S172" i="6"/>
  <c r="R172" i="6"/>
  <c r="Q172" i="6"/>
  <c r="P172" i="6"/>
  <c r="O172" i="6"/>
  <c r="N172" i="6"/>
  <c r="T172" i="6" s="1"/>
  <c r="H172" i="6"/>
  <c r="G172" i="6"/>
  <c r="F172" i="6"/>
  <c r="E172" i="6"/>
  <c r="D172" i="6"/>
  <c r="C172" i="6"/>
  <c r="I172" i="6" s="1"/>
  <c r="T171" i="6"/>
  <c r="I171" i="6"/>
  <c r="S167" i="6"/>
  <c r="R167" i="6"/>
  <c r="Q167" i="6"/>
  <c r="P167" i="6"/>
  <c r="O167" i="6"/>
  <c r="N167" i="6"/>
  <c r="T167" i="6" s="1"/>
  <c r="H167" i="6"/>
  <c r="G167" i="6"/>
  <c r="F167" i="6"/>
  <c r="E167" i="6"/>
  <c r="D167" i="6"/>
  <c r="C167" i="6"/>
  <c r="I167" i="6" s="1"/>
  <c r="T166" i="6"/>
  <c r="I166" i="6"/>
  <c r="S160" i="6"/>
  <c r="R160" i="6"/>
  <c r="Q160" i="6"/>
  <c r="P160" i="6"/>
  <c r="O160" i="6"/>
  <c r="N160" i="6"/>
  <c r="T160" i="6" s="1"/>
  <c r="H160" i="6"/>
  <c r="G160" i="6"/>
  <c r="F160" i="6"/>
  <c r="E160" i="6"/>
  <c r="D160" i="6"/>
  <c r="C160" i="6"/>
  <c r="I160" i="6" s="1"/>
  <c r="T159" i="6"/>
  <c r="I159" i="6"/>
  <c r="S155" i="6"/>
  <c r="R155" i="6"/>
  <c r="Q155" i="6"/>
  <c r="P155" i="6"/>
  <c r="O155" i="6"/>
  <c r="N155" i="6"/>
  <c r="T155" i="6" s="1"/>
  <c r="H155" i="6"/>
  <c r="G155" i="6"/>
  <c r="F155" i="6"/>
  <c r="E155" i="6"/>
  <c r="D155" i="6"/>
  <c r="C155" i="6"/>
  <c r="I155" i="6" s="1"/>
  <c r="T153" i="6"/>
  <c r="I153" i="6"/>
  <c r="S150" i="6"/>
  <c r="R150" i="6"/>
  <c r="Q150" i="6"/>
  <c r="P150" i="6"/>
  <c r="O150" i="6"/>
  <c r="N150" i="6"/>
  <c r="T150" i="6" s="1"/>
  <c r="H150" i="6"/>
  <c r="G150" i="6"/>
  <c r="F150" i="6"/>
  <c r="E150" i="6"/>
  <c r="D150" i="6"/>
  <c r="C150" i="6"/>
  <c r="I150" i="6" s="1"/>
  <c r="T148" i="6"/>
  <c r="I148" i="6"/>
  <c r="S145" i="6"/>
  <c r="R145" i="6"/>
  <c r="Q145" i="6"/>
  <c r="P145" i="6"/>
  <c r="O145" i="6"/>
  <c r="N145" i="6"/>
  <c r="T145" i="6" s="1"/>
  <c r="H145" i="6"/>
  <c r="G145" i="6"/>
  <c r="F145" i="6"/>
  <c r="E145" i="6"/>
  <c r="D145" i="6"/>
  <c r="C145" i="6"/>
  <c r="I145" i="6" s="1"/>
  <c r="T143" i="6"/>
  <c r="I143" i="6"/>
  <c r="S140" i="6"/>
  <c r="R140" i="6"/>
  <c r="Q140" i="6"/>
  <c r="P140" i="6"/>
  <c r="O140" i="6"/>
  <c r="N140" i="6"/>
  <c r="T140" i="6" s="1"/>
  <c r="H140" i="6"/>
  <c r="G140" i="6"/>
  <c r="F140" i="6"/>
  <c r="E140" i="6"/>
  <c r="D140" i="6"/>
  <c r="C140" i="6"/>
  <c r="I140" i="6" s="1"/>
  <c r="T139" i="6"/>
  <c r="I139" i="6"/>
  <c r="S135" i="6"/>
  <c r="R135" i="6"/>
  <c r="Q135" i="6"/>
  <c r="P135" i="6"/>
  <c r="O135" i="6"/>
  <c r="N135" i="6"/>
  <c r="T135" i="6" s="1"/>
  <c r="H135" i="6"/>
  <c r="G135" i="6"/>
  <c r="F135" i="6"/>
  <c r="E135" i="6"/>
  <c r="D135" i="6"/>
  <c r="C135" i="6"/>
  <c r="I135" i="6" s="1"/>
  <c r="T134" i="6"/>
  <c r="I134" i="6"/>
  <c r="S128" i="6"/>
  <c r="R128" i="6"/>
  <c r="Q128" i="6"/>
  <c r="P128" i="6"/>
  <c r="O128" i="6"/>
  <c r="N128" i="6"/>
  <c r="T128" i="6" s="1"/>
  <c r="H128" i="6"/>
  <c r="G128" i="6"/>
  <c r="F128" i="6"/>
  <c r="E128" i="6"/>
  <c r="D128" i="6"/>
  <c r="C128" i="6"/>
  <c r="I128" i="6" s="1"/>
  <c r="T127" i="6"/>
  <c r="I127" i="6"/>
  <c r="S123" i="6"/>
  <c r="R123" i="6"/>
  <c r="Q123" i="6"/>
  <c r="P123" i="6"/>
  <c r="O123" i="6"/>
  <c r="N123" i="6"/>
  <c r="T123" i="6" s="1"/>
  <c r="H123" i="6"/>
  <c r="G123" i="6"/>
  <c r="F123" i="6"/>
  <c r="E123" i="6"/>
  <c r="D123" i="6"/>
  <c r="C123" i="6"/>
  <c r="I123" i="6" s="1"/>
  <c r="T121" i="6"/>
  <c r="I121" i="6"/>
  <c r="S118" i="6"/>
  <c r="R118" i="6"/>
  <c r="Q118" i="6"/>
  <c r="P118" i="6"/>
  <c r="O118" i="6"/>
  <c r="N118" i="6"/>
  <c r="T118" i="6" s="1"/>
  <c r="H118" i="6"/>
  <c r="G118" i="6"/>
  <c r="F118" i="6"/>
  <c r="E118" i="6"/>
  <c r="D118" i="6"/>
  <c r="C118" i="6"/>
  <c r="I118" i="6" s="1"/>
  <c r="T116" i="6"/>
  <c r="I116" i="6"/>
  <c r="S113" i="6"/>
  <c r="R113" i="6"/>
  <c r="Q113" i="6"/>
  <c r="P113" i="6"/>
  <c r="O113" i="6"/>
  <c r="N113" i="6"/>
  <c r="T113" i="6" s="1"/>
  <c r="H113" i="6"/>
  <c r="G113" i="6"/>
  <c r="F113" i="6"/>
  <c r="E113" i="6"/>
  <c r="D113" i="6"/>
  <c r="C113" i="6"/>
  <c r="I113" i="6" s="1"/>
  <c r="T111" i="6"/>
  <c r="I111" i="6"/>
  <c r="S108" i="6"/>
  <c r="R108" i="6"/>
  <c r="Q108" i="6"/>
  <c r="P108" i="6"/>
  <c r="O108" i="6"/>
  <c r="N108" i="6"/>
  <c r="T108" i="6" s="1"/>
  <c r="H108" i="6"/>
  <c r="G108" i="6"/>
  <c r="F108" i="6"/>
  <c r="E108" i="6"/>
  <c r="D108" i="6"/>
  <c r="C108" i="6"/>
  <c r="I108" i="6" s="1"/>
  <c r="T107" i="6"/>
  <c r="I107" i="6"/>
  <c r="S103" i="6"/>
  <c r="R103" i="6"/>
  <c r="Q103" i="6"/>
  <c r="P103" i="6"/>
  <c r="O103" i="6"/>
  <c r="N103" i="6"/>
  <c r="T103" i="6" s="1"/>
  <c r="H103" i="6"/>
  <c r="G103" i="6"/>
  <c r="F103" i="6"/>
  <c r="E103" i="6"/>
  <c r="D103" i="6"/>
  <c r="C103" i="6"/>
  <c r="I103" i="6" s="1"/>
  <c r="T102" i="6"/>
  <c r="I102" i="6"/>
  <c r="S96" i="6"/>
  <c r="R96" i="6"/>
  <c r="Q96" i="6"/>
  <c r="P96" i="6"/>
  <c r="O96" i="6"/>
  <c r="N96" i="6"/>
  <c r="T96" i="6" s="1"/>
  <c r="H96" i="6"/>
  <c r="G96" i="6"/>
  <c r="F96" i="6"/>
  <c r="E96" i="6"/>
  <c r="D96" i="6"/>
  <c r="C96" i="6"/>
  <c r="I96" i="6" s="1"/>
  <c r="T95" i="6"/>
  <c r="I95" i="6"/>
  <c r="S91" i="6"/>
  <c r="R91" i="6"/>
  <c r="Q91" i="6"/>
  <c r="P91" i="6"/>
  <c r="O91" i="6"/>
  <c r="N91" i="6"/>
  <c r="T91" i="6" s="1"/>
  <c r="H91" i="6"/>
  <c r="G91" i="6"/>
  <c r="F91" i="6"/>
  <c r="E91" i="6"/>
  <c r="D91" i="6"/>
  <c r="C91" i="6"/>
  <c r="I91" i="6" s="1"/>
  <c r="T89" i="6"/>
  <c r="I89" i="6"/>
  <c r="S86" i="6"/>
  <c r="R86" i="6"/>
  <c r="Q86" i="6"/>
  <c r="P86" i="6"/>
  <c r="O86" i="6"/>
  <c r="N86" i="6"/>
  <c r="T86" i="6" s="1"/>
  <c r="H86" i="6"/>
  <c r="G86" i="6"/>
  <c r="F86" i="6"/>
  <c r="E86" i="6"/>
  <c r="D86" i="6"/>
  <c r="C86" i="6"/>
  <c r="I86" i="6" s="1"/>
  <c r="T84" i="6"/>
  <c r="I84" i="6"/>
  <c r="S81" i="6"/>
  <c r="R81" i="6"/>
  <c r="Q81" i="6"/>
  <c r="P81" i="6"/>
  <c r="O81" i="6"/>
  <c r="N81" i="6"/>
  <c r="T81" i="6" s="1"/>
  <c r="H81" i="6"/>
  <c r="G81" i="6"/>
  <c r="F81" i="6"/>
  <c r="E81" i="6"/>
  <c r="D81" i="6"/>
  <c r="C81" i="6"/>
  <c r="I81" i="6" s="1"/>
  <c r="T79" i="6"/>
  <c r="I79" i="6"/>
  <c r="S76" i="6"/>
  <c r="R76" i="6"/>
  <c r="Q76" i="6"/>
  <c r="P76" i="6"/>
  <c r="O76" i="6"/>
  <c r="N76" i="6"/>
  <c r="T76" i="6" s="1"/>
  <c r="H76" i="6"/>
  <c r="G76" i="6"/>
  <c r="F76" i="6"/>
  <c r="E76" i="6"/>
  <c r="D76" i="6"/>
  <c r="C76" i="6"/>
  <c r="I76" i="6" s="1"/>
  <c r="T75" i="6"/>
  <c r="I75" i="6"/>
  <c r="S71" i="6"/>
  <c r="R71" i="6"/>
  <c r="Q71" i="6"/>
  <c r="P71" i="6"/>
  <c r="O71" i="6"/>
  <c r="N71" i="6"/>
  <c r="T71" i="6" s="1"/>
  <c r="H71" i="6"/>
  <c r="G71" i="6"/>
  <c r="F71" i="6"/>
  <c r="E71" i="6"/>
  <c r="D71" i="6"/>
  <c r="C71" i="6"/>
  <c r="I71" i="6" s="1"/>
  <c r="T70" i="6"/>
  <c r="I70" i="6"/>
  <c r="S64" i="6"/>
  <c r="R64" i="6"/>
  <c r="Q64" i="6"/>
  <c r="P64" i="6"/>
  <c r="O64" i="6"/>
  <c r="N64" i="6"/>
  <c r="T64" i="6" s="1"/>
  <c r="H64" i="6"/>
  <c r="G64" i="6"/>
  <c r="F64" i="6"/>
  <c r="E64" i="6"/>
  <c r="D64" i="6"/>
  <c r="C64" i="6"/>
  <c r="I64" i="6" s="1"/>
  <c r="T63" i="6"/>
  <c r="I63" i="6"/>
  <c r="S59" i="6"/>
  <c r="R59" i="6"/>
  <c r="Q59" i="6"/>
  <c r="P59" i="6"/>
  <c r="O59" i="6"/>
  <c r="N59" i="6"/>
  <c r="T59" i="6" s="1"/>
  <c r="H59" i="6"/>
  <c r="G59" i="6"/>
  <c r="F59" i="6"/>
  <c r="E59" i="6"/>
  <c r="D59" i="6"/>
  <c r="C59" i="6"/>
  <c r="I59" i="6" s="1"/>
  <c r="T57" i="6"/>
  <c r="I57" i="6"/>
  <c r="S54" i="6"/>
  <c r="R54" i="6"/>
  <c r="Q54" i="6"/>
  <c r="P54" i="6"/>
  <c r="O54" i="6"/>
  <c r="N54" i="6"/>
  <c r="T54" i="6" s="1"/>
  <c r="H54" i="6"/>
  <c r="G54" i="6"/>
  <c r="F54" i="6"/>
  <c r="E54" i="6"/>
  <c r="D54" i="6"/>
  <c r="C54" i="6"/>
  <c r="I54" i="6" s="1"/>
  <c r="T52" i="6"/>
  <c r="I52" i="6"/>
  <c r="S49" i="6"/>
  <c r="R49" i="6"/>
  <c r="Q49" i="6"/>
  <c r="P49" i="6"/>
  <c r="O49" i="6"/>
  <c r="N49" i="6"/>
  <c r="T49" i="6" s="1"/>
  <c r="H49" i="6"/>
  <c r="G49" i="6"/>
  <c r="F49" i="6"/>
  <c r="E49" i="6"/>
  <c r="D49" i="6"/>
  <c r="C49" i="6"/>
  <c r="I49" i="6" s="1"/>
  <c r="T47" i="6"/>
  <c r="I47" i="6"/>
  <c r="S44" i="6"/>
  <c r="R44" i="6"/>
  <c r="Q44" i="6"/>
  <c r="P44" i="6"/>
  <c r="O44" i="6"/>
  <c r="N44" i="6"/>
  <c r="T44" i="6" s="1"/>
  <c r="H44" i="6"/>
  <c r="G44" i="6"/>
  <c r="F44" i="6"/>
  <c r="E44" i="6"/>
  <c r="D44" i="6"/>
  <c r="C44" i="6"/>
  <c r="I44" i="6" s="1"/>
  <c r="T43" i="6"/>
  <c r="I43" i="6"/>
  <c r="S39" i="6"/>
  <c r="R39" i="6"/>
  <c r="Q39" i="6"/>
  <c r="P39" i="6"/>
  <c r="O39" i="6"/>
  <c r="N39" i="6"/>
  <c r="T39" i="6" s="1"/>
  <c r="H39" i="6"/>
  <c r="G39" i="6"/>
  <c r="F39" i="6"/>
  <c r="E39" i="6"/>
  <c r="D39" i="6"/>
  <c r="C39" i="6"/>
  <c r="I39" i="6" s="1"/>
  <c r="T38" i="6"/>
  <c r="I38" i="6"/>
  <c r="S32" i="6"/>
  <c r="R32" i="6"/>
  <c r="Q32" i="6"/>
  <c r="P32" i="6"/>
  <c r="O32" i="6"/>
  <c r="N32" i="6"/>
  <c r="T32" i="6" s="1"/>
  <c r="T31" i="6"/>
  <c r="S27" i="6"/>
  <c r="R27" i="6"/>
  <c r="Q27" i="6"/>
  <c r="P27" i="6"/>
  <c r="O27" i="6"/>
  <c r="N27" i="6"/>
  <c r="T27" i="6" s="1"/>
  <c r="T25" i="6"/>
  <c r="S22" i="6"/>
  <c r="R22" i="6"/>
  <c r="Q22" i="6"/>
  <c r="P22" i="6"/>
  <c r="O22" i="6"/>
  <c r="N22" i="6"/>
  <c r="T22" i="6" s="1"/>
  <c r="T20" i="6"/>
  <c r="S17" i="6"/>
  <c r="R17" i="6"/>
  <c r="Q17" i="6"/>
  <c r="P17" i="6"/>
  <c r="O17" i="6"/>
  <c r="N17" i="6"/>
  <c r="T17" i="6" s="1"/>
  <c r="T15" i="6"/>
  <c r="S12" i="6"/>
  <c r="R12" i="6"/>
  <c r="Q12" i="6"/>
  <c r="P12" i="6"/>
  <c r="O12" i="6"/>
  <c r="N12" i="6"/>
  <c r="T12" i="6" s="1"/>
  <c r="T11" i="6"/>
  <c r="S7" i="6"/>
  <c r="R7" i="6"/>
  <c r="Q7" i="6"/>
  <c r="P7" i="6"/>
  <c r="O7" i="6"/>
  <c r="N7" i="6"/>
  <c r="T7" i="6" s="1"/>
  <c r="T6" i="6"/>
  <c r="I33" i="6"/>
  <c r="I31" i="6"/>
  <c r="I15" i="6"/>
  <c r="I25" i="6"/>
  <c r="C27" i="6"/>
  <c r="C17" i="6"/>
  <c r="H22" i="6"/>
  <c r="G22" i="6"/>
  <c r="F22" i="6"/>
  <c r="E22" i="6"/>
  <c r="D22" i="6"/>
  <c r="C22" i="6"/>
  <c r="M14" i="2"/>
  <c r="I20" i="6"/>
  <c r="H32" i="6"/>
  <c r="G32" i="6"/>
  <c r="F32" i="6"/>
  <c r="E32" i="6"/>
  <c r="D32" i="6"/>
  <c r="C32" i="6"/>
  <c r="M15" i="2"/>
  <c r="H17" i="6"/>
  <c r="G17" i="6"/>
  <c r="F17" i="6"/>
  <c r="E17" i="6"/>
  <c r="D17" i="6"/>
  <c r="H27" i="6"/>
  <c r="G27" i="6"/>
  <c r="F27" i="6"/>
  <c r="E27" i="6"/>
  <c r="D27" i="6"/>
  <c r="M12" i="2"/>
  <c r="I6" i="6"/>
  <c r="I11" i="6"/>
  <c r="M16" i="2"/>
  <c r="D12" i="6"/>
  <c r="E12" i="6"/>
  <c r="E12" i="2"/>
  <c r="E11" i="2"/>
  <c r="H12" i="6"/>
  <c r="G12" i="6"/>
  <c r="F12" i="6"/>
  <c r="C12" i="6"/>
  <c r="H7" i="6"/>
  <c r="G7" i="6"/>
  <c r="F7" i="6"/>
  <c r="E7" i="6"/>
  <c r="D7" i="6"/>
  <c r="C7" i="6"/>
  <c r="M13" i="2"/>
  <c r="I193" i="6" l="1"/>
  <c r="T193" i="6"/>
  <c r="I161" i="6"/>
  <c r="T161" i="6"/>
  <c r="I129" i="6"/>
  <c r="T129" i="6"/>
  <c r="I97" i="6"/>
  <c r="T97" i="6"/>
  <c r="I65" i="6"/>
  <c r="T65" i="6"/>
  <c r="T33" i="6"/>
  <c r="I32" i="6"/>
  <c r="I27" i="6"/>
  <c r="I17" i="6"/>
  <c r="I22" i="6"/>
  <c r="I7" i="6"/>
  <c r="I12" i="6"/>
  <c r="D15" i="2"/>
  <c r="H15" i="2" s="1"/>
  <c r="D12" i="2" l="1"/>
  <c r="G11" i="2" l="1"/>
  <c r="B100" i="2"/>
  <c r="M19" i="2"/>
  <c r="M20" i="2"/>
  <c r="B99" i="2"/>
  <c r="B98" i="2"/>
  <c r="B97" i="2"/>
  <c r="B96" i="2"/>
  <c r="B95" i="2"/>
  <c r="B94" i="2"/>
  <c r="B93" i="2"/>
  <c r="B92" i="2"/>
  <c r="B90" i="2"/>
  <c r="B89" i="2"/>
  <c r="B91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68" i="2"/>
  <c r="B67" i="2"/>
  <c r="B66" i="2"/>
  <c r="B65" i="2"/>
  <c r="B64" i="2"/>
  <c r="B63" i="2"/>
  <c r="B62" i="2"/>
  <c r="B61" i="2"/>
  <c r="B70" i="2"/>
  <c r="B69" i="2"/>
  <c r="Q52" i="2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F12" i="2"/>
  <c r="H12" i="2"/>
  <c r="F47" i="2"/>
  <c r="F51" i="2" s="1"/>
  <c r="D31" i="2" l="1"/>
  <c r="D30" i="2"/>
  <c r="J28" i="2"/>
  <c r="I28" i="2"/>
  <c r="H28" i="2"/>
  <c r="F28" i="2"/>
  <c r="E25" i="1"/>
  <c r="D25" i="1"/>
  <c r="E27" i="1" s="1"/>
  <c r="C25" i="1"/>
  <c r="D25" i="2" l="1"/>
  <c r="I75" i="2" l="1"/>
  <c r="I66" i="2"/>
  <c r="I65" i="2"/>
  <c r="I64" i="2"/>
  <c r="I63" i="2"/>
  <c r="I62" i="2"/>
  <c r="I61" i="2"/>
  <c r="I67" i="2"/>
  <c r="I68" i="2"/>
  <c r="I69" i="2"/>
  <c r="I70" i="2"/>
  <c r="I71" i="2"/>
  <c r="I72" i="2"/>
  <c r="I73" i="2"/>
  <c r="I74" i="2"/>
  <c r="I76" i="2"/>
  <c r="I77" i="2"/>
  <c r="I78" i="2"/>
  <c r="I79" i="2"/>
  <c r="I80" i="2"/>
  <c r="I81" i="2"/>
  <c r="I82" i="2"/>
  <c r="I83" i="2"/>
  <c r="H116" i="1"/>
  <c r="C64" i="1"/>
  <c r="C63" i="1"/>
  <c r="C62" i="1"/>
  <c r="B64" i="1"/>
  <c r="B63" i="1" s="1"/>
  <c r="B62" i="1" s="1"/>
  <c r="G176" i="2"/>
  <c r="G120" i="2"/>
  <c r="B142" i="2"/>
  <c r="B198" i="2" s="1"/>
  <c r="B257" i="2" s="1"/>
  <c r="B141" i="2"/>
  <c r="B197" i="2" s="1"/>
  <c r="B256" i="2" s="1"/>
  <c r="B140" i="2"/>
  <c r="B196" i="2" s="1"/>
  <c r="B255" i="2" s="1"/>
  <c r="B139" i="2"/>
  <c r="B195" i="2" s="1"/>
  <c r="B254" i="2" s="1"/>
  <c r="B138" i="2"/>
  <c r="B194" i="2" s="1"/>
  <c r="B253" i="2" s="1"/>
  <c r="B137" i="2"/>
  <c r="B193" i="2" s="1"/>
  <c r="B252" i="2" s="1"/>
  <c r="B136" i="2"/>
  <c r="B192" i="2" s="1"/>
  <c r="B251" i="2" s="1"/>
  <c r="B135" i="2"/>
  <c r="B191" i="2" s="1"/>
  <c r="B250" i="2" s="1"/>
  <c r="B134" i="2"/>
  <c r="B190" i="2" s="1"/>
  <c r="B249" i="2" s="1"/>
  <c r="B133" i="2"/>
  <c r="B189" i="2" s="1"/>
  <c r="B248" i="2" s="1"/>
  <c r="B132" i="2"/>
  <c r="B188" i="2" s="1"/>
  <c r="B247" i="2" s="1"/>
  <c r="B131" i="2"/>
  <c r="B187" i="2" s="1"/>
  <c r="B246" i="2" s="1"/>
  <c r="B130" i="2"/>
  <c r="B186" i="2" s="1"/>
  <c r="B245" i="2" s="1"/>
  <c r="B129" i="2"/>
  <c r="B185" i="2" s="1"/>
  <c r="B244" i="2" s="1"/>
  <c r="B128" i="2"/>
  <c r="B184" i="2" s="1"/>
  <c r="B243" i="2" s="1"/>
  <c r="B127" i="2"/>
  <c r="B183" i="2" s="1"/>
  <c r="B242" i="2" s="1"/>
  <c r="B126" i="2"/>
  <c r="B182" i="2" s="1"/>
  <c r="B241" i="2" s="1"/>
  <c r="B125" i="2"/>
  <c r="B181" i="2" s="1"/>
  <c r="B240" i="2" s="1"/>
  <c r="B124" i="2"/>
  <c r="B180" i="2" s="1"/>
  <c r="B239" i="2" s="1"/>
  <c r="B123" i="2"/>
  <c r="B179" i="2" s="1"/>
  <c r="B238" i="2" s="1"/>
  <c r="B122" i="2"/>
  <c r="B178" i="2" s="1"/>
  <c r="B237" i="2" s="1"/>
  <c r="B121" i="2"/>
  <c r="B177" i="2" s="1"/>
  <c r="B236" i="2" s="1"/>
  <c r="B160" i="2"/>
  <c r="B216" i="2" s="1"/>
  <c r="B275" i="2" s="1"/>
  <c r="AJ24" i="2"/>
  <c r="AI24" i="2"/>
  <c r="AH24" i="2"/>
  <c r="E334" i="2"/>
  <c r="E307" i="2"/>
  <c r="D312" i="2"/>
  <c r="D311" i="2"/>
  <c r="A311" i="2" s="1"/>
  <c r="D310" i="2"/>
  <c r="A310" i="2" s="1"/>
  <c r="D309" i="2"/>
  <c r="A309" i="2" s="1"/>
  <c r="D308" i="2"/>
  <c r="A308" i="2" s="1"/>
  <c r="D307" i="2"/>
  <c r="A307" i="2" s="1"/>
  <c r="D306" i="2"/>
  <c r="A306" i="2" s="1"/>
  <c r="D305" i="2"/>
  <c r="A305" i="2" s="1"/>
  <c r="D304" i="2"/>
  <c r="A304" i="2" s="1"/>
  <c r="D303" i="2"/>
  <c r="A303" i="2" s="1"/>
  <c r="D302" i="2"/>
  <c r="D301" i="2"/>
  <c r="A301" i="2" s="1"/>
  <c r="D300" i="2"/>
  <c r="A300" i="2" s="1"/>
  <c r="D299" i="2"/>
  <c r="A299" i="2" s="1"/>
  <c r="D298" i="2"/>
  <c r="A298" i="2" s="1"/>
  <c r="D297" i="2"/>
  <c r="A297" i="2" s="1"/>
  <c r="D296" i="2"/>
  <c r="D295" i="2"/>
  <c r="A295" i="2" s="1"/>
  <c r="D294" i="2"/>
  <c r="A294" i="2" s="1"/>
  <c r="D293" i="2"/>
  <c r="A293" i="2" s="1"/>
  <c r="D292" i="2"/>
  <c r="D331" i="2"/>
  <c r="A331" i="2" s="1"/>
  <c r="A312" i="2"/>
  <c r="A302" i="2"/>
  <c r="A296" i="2"/>
  <c r="A292" i="2"/>
  <c r="H94" i="1"/>
  <c r="G94" i="1"/>
  <c r="G96" i="1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E236" i="2" s="1"/>
  <c r="D40" i="1"/>
  <c r="E40" i="1" s="1"/>
  <c r="G26" i="2"/>
  <c r="H54" i="2"/>
  <c r="H51" i="2"/>
  <c r="F48" i="2"/>
  <c r="G51" i="2" s="1"/>
  <c r="E237" i="2" l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J40" i="1"/>
  <c r="G48" i="2" l="1"/>
  <c r="G54" i="2" s="1"/>
  <c r="G47" i="2"/>
  <c r="F54" i="2" s="1"/>
  <c r="B159" i="2" l="1"/>
  <c r="B215" i="2" s="1"/>
  <c r="B274" i="2" s="1"/>
  <c r="B67" i="1"/>
  <c r="B66" i="1" s="1"/>
  <c r="B65" i="1" s="1"/>
  <c r="D100" i="2"/>
  <c r="F331" i="2" s="1"/>
  <c r="D28" i="2"/>
  <c r="I40" i="2" s="1"/>
  <c r="B158" i="2" l="1"/>
  <c r="B214" i="2" s="1"/>
  <c r="B273" i="2" s="1"/>
  <c r="D330" i="2"/>
  <c r="A330" i="2" s="1"/>
  <c r="D99" i="2"/>
  <c r="F330" i="2" s="1"/>
  <c r="J20" i="2"/>
  <c r="I20" i="2"/>
  <c r="H20" i="2"/>
  <c r="G20" i="2"/>
  <c r="F20" i="2"/>
  <c r="E20" i="2"/>
  <c r="F23" i="2" s="1"/>
  <c r="D40" i="2" s="1"/>
  <c r="D20" i="2"/>
  <c r="C20" i="2"/>
  <c r="K17" i="2"/>
  <c r="C17" i="2"/>
  <c r="D49" i="4"/>
  <c r="G45" i="4"/>
  <c r="D45" i="4"/>
  <c r="D44" i="4"/>
  <c r="Z34" i="4"/>
  <c r="Y34" i="4"/>
  <c r="W29" i="4"/>
  <c r="V29" i="4"/>
  <c r="J20" i="4"/>
  <c r="I20" i="4"/>
  <c r="H20" i="4"/>
  <c r="G20" i="4"/>
  <c r="F20" i="4"/>
  <c r="E20" i="4"/>
  <c r="G23" i="4" s="1"/>
  <c r="D20" i="4"/>
  <c r="C20" i="4"/>
  <c r="I23" i="4" s="1"/>
  <c r="K37" i="4" s="1"/>
  <c r="H39" i="4" s="1"/>
  <c r="B19" i="4"/>
  <c r="C17" i="4"/>
  <c r="I11" i="4"/>
  <c r="I12" i="4" s="1"/>
  <c r="G11" i="4"/>
  <c r="E11" i="4"/>
  <c r="P6" i="4" s="1"/>
  <c r="E12" i="4" s="1"/>
  <c r="D11" i="4"/>
  <c r="C11" i="4"/>
  <c r="P10" i="4"/>
  <c r="P9" i="4"/>
  <c r="P7" i="4"/>
  <c r="G12" i="4" s="1"/>
  <c r="H6" i="4"/>
  <c r="P5" i="4"/>
  <c r="H12" i="4" s="1"/>
  <c r="P4" i="4"/>
  <c r="F12" i="4" s="1"/>
  <c r="P3" i="4"/>
  <c r="D12" i="4" s="1"/>
  <c r="P2" i="4"/>
  <c r="D98" i="2" l="1"/>
  <c r="F329" i="2" s="1"/>
  <c r="D313" i="2"/>
  <c r="A313" i="2" s="1"/>
  <c r="B157" i="2"/>
  <c r="B213" i="2" s="1"/>
  <c r="B272" i="2" s="1"/>
  <c r="D329" i="2"/>
  <c r="A329" i="2" s="1"/>
  <c r="K28" i="4"/>
  <c r="H30" i="4"/>
  <c r="C48" i="4" s="1"/>
  <c r="P8" i="4"/>
  <c r="D15" i="4" s="1"/>
  <c r="H15" i="4" s="1"/>
  <c r="C12" i="4"/>
  <c r="D26" i="2"/>
  <c r="B156" i="2" l="1"/>
  <c r="B212" i="2" s="1"/>
  <c r="B271" i="2" s="1"/>
  <c r="D328" i="2"/>
  <c r="A328" i="2" s="1"/>
  <c r="D97" i="2"/>
  <c r="F328" i="2" s="1"/>
  <c r="F43" i="2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33" i="1"/>
  <c r="O11" i="1"/>
  <c r="F29" i="2"/>
  <c r="B19" i="2"/>
  <c r="I11" i="2"/>
  <c r="M18" i="2" s="1"/>
  <c r="D11" i="2"/>
  <c r="C11" i="2"/>
  <c r="H6" i="2"/>
  <c r="F50" i="2" s="1"/>
  <c r="I50" i="2" s="1"/>
  <c r="M17" i="2" l="1"/>
  <c r="G12" i="2" s="1"/>
  <c r="C12" i="2"/>
  <c r="I12" i="2"/>
  <c r="B155" i="2"/>
  <c r="B211" i="2" s="1"/>
  <c r="B270" i="2" s="1"/>
  <c r="D327" i="2"/>
  <c r="A327" i="2" s="1"/>
  <c r="D96" i="2"/>
  <c r="F327" i="2" s="1"/>
  <c r="F53" i="2"/>
  <c r="I53" i="2" s="1"/>
  <c r="C39" i="2"/>
  <c r="D39" i="2" s="1"/>
  <c r="H39" i="2"/>
  <c r="I39" i="2" s="1"/>
  <c r="B112" i="1"/>
  <c r="N40" i="1"/>
  <c r="E170" i="1"/>
  <c r="I12" i="1"/>
  <c r="O15" i="1" s="1"/>
  <c r="D23" i="1"/>
  <c r="K51" i="2" l="1"/>
  <c r="B154" i="2"/>
  <c r="B210" i="2" s="1"/>
  <c r="B269" i="2" s="1"/>
  <c r="D326" i="2"/>
  <c r="A326" i="2" s="1"/>
  <c r="D95" i="2"/>
  <c r="F326" i="2" s="1"/>
  <c r="B111" i="1"/>
  <c r="I13" i="1"/>
  <c r="B153" i="2" l="1"/>
  <c r="B209" i="2" s="1"/>
  <c r="B268" i="2" s="1"/>
  <c r="D325" i="2"/>
  <c r="A325" i="2" s="1"/>
  <c r="D94" i="2"/>
  <c r="F325" i="2" s="1"/>
  <c r="B110" i="1"/>
  <c r="E197" i="1"/>
  <c r="D193" i="1"/>
  <c r="A193" i="1" s="1"/>
  <c r="D192" i="1"/>
  <c r="A192" i="1" s="1"/>
  <c r="D191" i="1"/>
  <c r="A191" i="1" s="1"/>
  <c r="D190" i="1"/>
  <c r="A190" i="1" s="1"/>
  <c r="D189" i="1"/>
  <c r="A189" i="1" s="1"/>
  <c r="D188" i="1"/>
  <c r="A188" i="1" s="1"/>
  <c r="D187" i="1"/>
  <c r="A187" i="1" s="1"/>
  <c r="D186" i="1"/>
  <c r="A186" i="1" s="1"/>
  <c r="D194" i="1"/>
  <c r="A194" i="1" s="1"/>
  <c r="O17" i="1"/>
  <c r="O16" i="1"/>
  <c r="B152" i="2" l="1"/>
  <c r="B208" i="2" s="1"/>
  <c r="B267" i="2" s="1"/>
  <c r="D324" i="2"/>
  <c r="A324" i="2" s="1"/>
  <c r="D93" i="2"/>
  <c r="D82" i="2"/>
  <c r="B109" i="1"/>
  <c r="E86" i="1"/>
  <c r="H7" i="1"/>
  <c r="G85" i="1" s="1"/>
  <c r="D71" i="1"/>
  <c r="F186" i="1" s="1"/>
  <c r="D72" i="1"/>
  <c r="F187" i="1" s="1"/>
  <c r="D73" i="1"/>
  <c r="F188" i="1" s="1"/>
  <c r="E82" i="2" l="1"/>
  <c r="F313" i="2"/>
  <c r="F324" i="2"/>
  <c r="B151" i="2"/>
  <c r="B207" i="2" s="1"/>
  <c r="B266" i="2" s="1"/>
  <c r="D323" i="2"/>
  <c r="A323" i="2" s="1"/>
  <c r="D92" i="2"/>
  <c r="D81" i="2"/>
  <c r="B108" i="1"/>
  <c r="D185" i="1"/>
  <c r="A185" i="1" s="1"/>
  <c r="B70" i="1"/>
  <c r="D78" i="1"/>
  <c r="F193" i="1" s="1"/>
  <c r="D77" i="1"/>
  <c r="F192" i="1" s="1"/>
  <c r="D76" i="1"/>
  <c r="F191" i="1" s="1"/>
  <c r="D75" i="1"/>
  <c r="F190" i="1" s="1"/>
  <c r="D74" i="1"/>
  <c r="F189" i="1" s="1"/>
  <c r="D79" i="1"/>
  <c r="F194" i="1" s="1"/>
  <c r="E81" i="2" l="1"/>
  <c r="F312" i="2"/>
  <c r="F323" i="2"/>
  <c r="B150" i="2"/>
  <c r="B206" i="2" s="1"/>
  <c r="B265" i="2" s="1"/>
  <c r="D322" i="2"/>
  <c r="A322" i="2" s="1"/>
  <c r="D91" i="2"/>
  <c r="D80" i="2"/>
  <c r="B107" i="1"/>
  <c r="D184" i="1"/>
  <c r="A184" i="1" s="1"/>
  <c r="B69" i="1"/>
  <c r="D70" i="1"/>
  <c r="F185" i="1" s="1"/>
  <c r="O12" i="1"/>
  <c r="H13" i="1" s="1"/>
  <c r="G12" i="1"/>
  <c r="O14" i="1" s="1"/>
  <c r="G13" i="1" s="1"/>
  <c r="F13" i="1"/>
  <c r="E12" i="1"/>
  <c r="O13" i="1" s="1"/>
  <c r="E13" i="1" s="1"/>
  <c r="D12" i="1"/>
  <c r="C12" i="1"/>
  <c r="O9" i="1" s="1"/>
  <c r="E29" i="1"/>
  <c r="E80" i="2" l="1"/>
  <c r="F311" i="2"/>
  <c r="F322" i="2"/>
  <c r="D321" i="2"/>
  <c r="A321" i="2" s="1"/>
  <c r="D90" i="2"/>
  <c r="D79" i="2"/>
  <c r="B106" i="1"/>
  <c r="O10" i="1"/>
  <c r="D13" i="1" s="1"/>
  <c r="B68" i="1"/>
  <c r="D69" i="1"/>
  <c r="F184" i="1" s="1"/>
  <c r="D183" i="1"/>
  <c r="A183" i="1" s="1"/>
  <c r="C13" i="1"/>
  <c r="C35" i="1"/>
  <c r="C30" i="1"/>
  <c r="D21" i="1"/>
  <c r="E18" i="1"/>
  <c r="D18" i="1"/>
  <c r="F35" i="1" l="1"/>
  <c r="D152" i="1" s="1"/>
  <c r="B149" i="2"/>
  <c r="B205" i="2" s="1"/>
  <c r="B264" i="2" s="1"/>
  <c r="E79" i="2"/>
  <c r="F310" i="2"/>
  <c r="F321" i="2"/>
  <c r="D320" i="2"/>
  <c r="A320" i="2" s="1"/>
  <c r="D89" i="2"/>
  <c r="D78" i="2"/>
  <c r="B105" i="1"/>
  <c r="D16" i="1"/>
  <c r="C33" i="1"/>
  <c r="D33" i="1" s="1"/>
  <c r="D182" i="1"/>
  <c r="A182" i="1" s="1"/>
  <c r="D68" i="1"/>
  <c r="F183" i="1" s="1"/>
  <c r="N32" i="1"/>
  <c r="N33" i="1"/>
  <c r="C75" i="1" l="1"/>
  <c r="G129" i="1" s="1"/>
  <c r="C67" i="1"/>
  <c r="C65" i="1"/>
  <c r="C66" i="1"/>
  <c r="B148" i="2"/>
  <c r="B204" i="2" s="1"/>
  <c r="B263" i="2" s="1"/>
  <c r="D319" i="2"/>
  <c r="A319" i="2" s="1"/>
  <c r="D88" i="2"/>
  <c r="E78" i="2"/>
  <c r="F309" i="2"/>
  <c r="F320" i="2"/>
  <c r="D77" i="2"/>
  <c r="C79" i="1"/>
  <c r="G133" i="1" s="1"/>
  <c r="B104" i="1"/>
  <c r="H16" i="1"/>
  <c r="G37" i="1" s="1"/>
  <c r="G120" i="1"/>
  <c r="G112" i="1"/>
  <c r="G110" i="1"/>
  <c r="G108" i="1"/>
  <c r="G106" i="1"/>
  <c r="G104" i="1"/>
  <c r="G102" i="1"/>
  <c r="G100" i="1"/>
  <c r="G98" i="1"/>
  <c r="G121" i="1"/>
  <c r="G113" i="1"/>
  <c r="G111" i="1"/>
  <c r="G109" i="1"/>
  <c r="G107" i="1"/>
  <c r="G105" i="1"/>
  <c r="G103" i="1"/>
  <c r="G101" i="1"/>
  <c r="G99" i="1"/>
  <c r="G97" i="1"/>
  <c r="G95" i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C78" i="1"/>
  <c r="G132" i="1" s="1"/>
  <c r="C76" i="1"/>
  <c r="G130" i="1" s="1"/>
  <c r="C74" i="1"/>
  <c r="G128" i="1" s="1"/>
  <c r="C77" i="1"/>
  <c r="G131" i="1" s="1"/>
  <c r="C68" i="1"/>
  <c r="E68" i="1" s="1"/>
  <c r="C72" i="1"/>
  <c r="G126" i="1" s="1"/>
  <c r="C70" i="1"/>
  <c r="G124" i="1" s="1"/>
  <c r="C69" i="1"/>
  <c r="E69" i="1" s="1"/>
  <c r="C73" i="1"/>
  <c r="G127" i="1" s="1"/>
  <c r="C71" i="1"/>
  <c r="G125" i="1" s="1"/>
  <c r="D67" i="1"/>
  <c r="D181" i="1"/>
  <c r="A181" i="1" s="1"/>
  <c r="G116" i="1"/>
  <c r="G117" i="1"/>
  <c r="G114" i="1"/>
  <c r="G118" i="1"/>
  <c r="G122" i="1"/>
  <c r="G115" i="1"/>
  <c r="G119" i="1"/>
  <c r="G123" i="1"/>
  <c r="E78" i="1"/>
  <c r="E75" i="1"/>
  <c r="E71" i="1" l="1"/>
  <c r="F319" i="2"/>
  <c r="B147" i="2"/>
  <c r="D318" i="2"/>
  <c r="A318" i="2" s="1"/>
  <c r="D87" i="2"/>
  <c r="E77" i="2"/>
  <c r="F308" i="2"/>
  <c r="H117" i="1"/>
  <c r="H118" i="1" s="1"/>
  <c r="H119" i="1" s="1"/>
  <c r="H120" i="1" s="1"/>
  <c r="H121" i="1" s="1"/>
  <c r="E70" i="1"/>
  <c r="E74" i="1"/>
  <c r="E73" i="1"/>
  <c r="E79" i="1"/>
  <c r="D76" i="2"/>
  <c r="H33" i="1"/>
  <c r="G36" i="1" s="1"/>
  <c r="B103" i="1"/>
  <c r="E67" i="1"/>
  <c r="F182" i="1"/>
  <c r="E77" i="1"/>
  <c r="E76" i="1"/>
  <c r="C80" i="1"/>
  <c r="C81" i="1" s="1"/>
  <c r="E72" i="1"/>
  <c r="D180" i="1"/>
  <c r="A180" i="1" s="1"/>
  <c r="D66" i="1"/>
  <c r="F318" i="2" l="1"/>
  <c r="B146" i="2"/>
  <c r="D317" i="2"/>
  <c r="A317" i="2" s="1"/>
  <c r="D86" i="2"/>
  <c r="B203" i="2"/>
  <c r="B262" i="2" s="1"/>
  <c r="E76" i="2"/>
  <c r="F307" i="2"/>
  <c r="D75" i="2"/>
  <c r="H195" i="1"/>
  <c r="B102" i="1"/>
  <c r="E66" i="1"/>
  <c r="F181" i="1"/>
  <c r="D65" i="1"/>
  <c r="D179" i="1"/>
  <c r="A179" i="1" s="1"/>
  <c r="H122" i="1"/>
  <c r="H123" i="1" s="1"/>
  <c r="F317" i="2" l="1"/>
  <c r="B145" i="2"/>
  <c r="D316" i="2"/>
  <c r="A316" i="2" s="1"/>
  <c r="D85" i="2"/>
  <c r="B202" i="2"/>
  <c r="B261" i="2" s="1"/>
  <c r="E75" i="2"/>
  <c r="F306" i="2"/>
  <c r="D74" i="2"/>
  <c r="B101" i="1"/>
  <c r="E65" i="1"/>
  <c r="F180" i="1"/>
  <c r="D178" i="1"/>
  <c r="A178" i="1" s="1"/>
  <c r="D64" i="1"/>
  <c r="F316" i="2" l="1"/>
  <c r="B144" i="2"/>
  <c r="D315" i="2"/>
  <c r="A315" i="2" s="1"/>
  <c r="D84" i="2"/>
  <c r="B201" i="2"/>
  <c r="B260" i="2" s="1"/>
  <c r="E74" i="2"/>
  <c r="F305" i="2"/>
  <c r="D73" i="2"/>
  <c r="B100" i="1"/>
  <c r="E64" i="1"/>
  <c r="F179" i="1"/>
  <c r="D63" i="1"/>
  <c r="D177" i="1"/>
  <c r="A177" i="1" s="1"/>
  <c r="H124" i="1"/>
  <c r="F315" i="2" l="1"/>
  <c r="B143" i="2"/>
  <c r="D314" i="2"/>
  <c r="A314" i="2" s="1"/>
  <c r="D83" i="2"/>
  <c r="B200" i="2"/>
  <c r="B259" i="2" s="1"/>
  <c r="E73" i="2"/>
  <c r="F304" i="2"/>
  <c r="D72" i="2"/>
  <c r="B99" i="1"/>
  <c r="E63" i="1"/>
  <c r="F178" i="1"/>
  <c r="D176" i="1"/>
  <c r="A176" i="1" s="1"/>
  <c r="D62" i="1"/>
  <c r="H125" i="1"/>
  <c r="F314" i="2" l="1"/>
  <c r="B199" i="2"/>
  <c r="B258" i="2" s="1"/>
  <c r="E72" i="2"/>
  <c r="F303" i="2"/>
  <c r="D71" i="2"/>
  <c r="B98" i="1"/>
  <c r="E62" i="1"/>
  <c r="F177" i="1"/>
  <c r="D175" i="1"/>
  <c r="A175" i="1" s="1"/>
  <c r="D61" i="1"/>
  <c r="H126" i="1"/>
  <c r="H127" i="1" s="1"/>
  <c r="E71" i="2" l="1"/>
  <c r="F302" i="2"/>
  <c r="D70" i="2"/>
  <c r="B97" i="1"/>
  <c r="E61" i="1"/>
  <c r="F176" i="1"/>
  <c r="D174" i="1"/>
  <c r="A174" i="1" s="1"/>
  <c r="D60" i="1"/>
  <c r="E70" i="2" l="1"/>
  <c r="F301" i="2"/>
  <c r="D69" i="2"/>
  <c r="B96" i="1"/>
  <c r="E60" i="1"/>
  <c r="F175" i="1"/>
  <c r="D173" i="1"/>
  <c r="A173" i="1" s="1"/>
  <c r="D59" i="1"/>
  <c r="H128" i="1"/>
  <c r="E69" i="2" l="1"/>
  <c r="F300" i="2"/>
  <c r="D68" i="2"/>
  <c r="B94" i="1"/>
  <c r="B95" i="1"/>
  <c r="E59" i="1"/>
  <c r="F174" i="1"/>
  <c r="D172" i="1"/>
  <c r="A172" i="1" s="1"/>
  <c r="D58" i="1"/>
  <c r="H129" i="1"/>
  <c r="E68" i="2" l="1"/>
  <c r="F299" i="2"/>
  <c r="D67" i="2"/>
  <c r="E58" i="1"/>
  <c r="F173" i="1"/>
  <c r="D171" i="1"/>
  <c r="A171" i="1" s="1"/>
  <c r="D57" i="1"/>
  <c r="H130" i="1"/>
  <c r="E67" i="2" l="1"/>
  <c r="F298" i="2"/>
  <c r="D66" i="2"/>
  <c r="E57" i="1"/>
  <c r="F172" i="1"/>
  <c r="D170" i="1"/>
  <c r="A170" i="1" s="1"/>
  <c r="D56" i="1"/>
  <c r="H131" i="1"/>
  <c r="E66" i="2" l="1"/>
  <c r="F297" i="2"/>
  <c r="D65" i="2"/>
  <c r="E56" i="1"/>
  <c r="F171" i="1"/>
  <c r="D169" i="1"/>
  <c r="A169" i="1" s="1"/>
  <c r="D55" i="1"/>
  <c r="H132" i="1"/>
  <c r="H133" i="1" s="1"/>
  <c r="E65" i="2" l="1"/>
  <c r="F296" i="2"/>
  <c r="D64" i="2"/>
  <c r="E55" i="1"/>
  <c r="F170" i="1"/>
  <c r="D168" i="1"/>
  <c r="A168" i="1" s="1"/>
  <c r="D54" i="1"/>
  <c r="E64" i="2" l="1"/>
  <c r="F295" i="2"/>
  <c r="D63" i="2"/>
  <c r="E54" i="1"/>
  <c r="F169" i="1"/>
  <c r="D167" i="1"/>
  <c r="A167" i="1" s="1"/>
  <c r="D53" i="1"/>
  <c r="E63" i="2" l="1"/>
  <c r="F294" i="2"/>
  <c r="D62" i="2"/>
  <c r="D61" i="2"/>
  <c r="E53" i="1"/>
  <c r="F168" i="1"/>
  <c r="D166" i="1"/>
  <c r="A166" i="1" s="1"/>
  <c r="D52" i="1"/>
  <c r="E62" i="2" l="1"/>
  <c r="F293" i="2"/>
  <c r="E61" i="2"/>
  <c r="F292" i="2"/>
  <c r="E52" i="1"/>
  <c r="F167" i="1"/>
  <c r="D165" i="1"/>
  <c r="A165" i="1" s="1"/>
  <c r="D51" i="1"/>
  <c r="E51" i="1" l="1"/>
  <c r="F166" i="1"/>
  <c r="D164" i="1"/>
  <c r="A164" i="1" s="1"/>
  <c r="D50" i="1"/>
  <c r="E50" i="1" l="1"/>
  <c r="F165" i="1"/>
  <c r="D163" i="1"/>
  <c r="A163" i="1" s="1"/>
  <c r="D49" i="1"/>
  <c r="E49" i="1" l="1"/>
  <c r="F164" i="1"/>
  <c r="D162" i="1"/>
  <c r="A162" i="1" s="1"/>
  <c r="D48" i="1"/>
  <c r="E48" i="1" l="1"/>
  <c r="F163" i="1"/>
  <c r="D161" i="1"/>
  <c r="A161" i="1" s="1"/>
  <c r="D47" i="1"/>
  <c r="E47" i="1" l="1"/>
  <c r="F162" i="1"/>
  <c r="D160" i="1"/>
  <c r="A160" i="1" s="1"/>
  <c r="D46" i="1"/>
  <c r="E46" i="1" l="1"/>
  <c r="F161" i="1"/>
  <c r="D159" i="1"/>
  <c r="A159" i="1" s="1"/>
  <c r="D45" i="1"/>
  <c r="E45" i="1" l="1"/>
  <c r="F160" i="1"/>
  <c r="D158" i="1"/>
  <c r="A158" i="1" s="1"/>
  <c r="D44" i="1"/>
  <c r="E44" i="1" l="1"/>
  <c r="F159" i="1"/>
  <c r="D157" i="1"/>
  <c r="A157" i="1" s="1"/>
  <c r="D43" i="1"/>
  <c r="E43" i="1" l="1"/>
  <c r="F158" i="1"/>
  <c r="D155" i="1"/>
  <c r="A155" i="1" s="1"/>
  <c r="D156" i="1"/>
  <c r="A156" i="1" s="1"/>
  <c r="D42" i="1"/>
  <c r="E42" i="1" l="1"/>
  <c r="F157" i="1"/>
  <c r="D41" i="1"/>
  <c r="F155" i="1" l="1"/>
  <c r="E41" i="1"/>
  <c r="E80" i="1" s="1"/>
  <c r="F40" i="1" s="1"/>
  <c r="F156" i="1"/>
  <c r="F70" i="1" l="1"/>
  <c r="F78" i="1"/>
  <c r="F75" i="1"/>
  <c r="F69" i="1"/>
  <c r="F68" i="1"/>
  <c r="F74" i="1"/>
  <c r="F76" i="1"/>
  <c r="F65" i="1"/>
  <c r="F63" i="1"/>
  <c r="F60" i="1"/>
  <c r="F72" i="1"/>
  <c r="F77" i="1"/>
  <c r="F71" i="1"/>
  <c r="F66" i="1"/>
  <c r="F67" i="1"/>
  <c r="F73" i="1"/>
  <c r="F79" i="1"/>
  <c r="F64" i="1"/>
  <c r="F62" i="1"/>
  <c r="F61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80" i="1" l="1"/>
  <c r="G40" i="1" s="1"/>
  <c r="G75" i="1" l="1"/>
  <c r="B190" i="1" s="1"/>
  <c r="G62" i="1"/>
  <c r="B177" i="1" s="1"/>
  <c r="G72" i="1"/>
  <c r="B187" i="1" s="1"/>
  <c r="G53" i="1"/>
  <c r="G45" i="1"/>
  <c r="B160" i="1" s="1"/>
  <c r="G76" i="1"/>
  <c r="B191" i="1" s="1"/>
  <c r="G67" i="1"/>
  <c r="B182" i="1" s="1"/>
  <c r="G57" i="1"/>
  <c r="G49" i="1"/>
  <c r="G41" i="1"/>
  <c r="G69" i="1"/>
  <c r="B184" i="1" s="1"/>
  <c r="G70" i="1"/>
  <c r="B185" i="1" s="1"/>
  <c r="G68" i="1"/>
  <c r="B183" i="1" s="1"/>
  <c r="G63" i="1"/>
  <c r="B178" i="1" s="1"/>
  <c r="G71" i="1"/>
  <c r="B186" i="1" s="1"/>
  <c r="G79" i="1"/>
  <c r="B194" i="1" s="1"/>
  <c r="G59" i="1"/>
  <c r="G55" i="1"/>
  <c r="G51" i="1"/>
  <c r="G47" i="1"/>
  <c r="G43" i="1"/>
  <c r="G78" i="1"/>
  <c r="B193" i="1" s="1"/>
  <c r="G65" i="1"/>
  <c r="B180" i="1" s="1"/>
  <c r="G74" i="1"/>
  <c r="B189" i="1" s="1"/>
  <c r="G60" i="1"/>
  <c r="B175" i="1" s="1"/>
  <c r="G66" i="1"/>
  <c r="B181" i="1" s="1"/>
  <c r="H40" i="1"/>
  <c r="C94" i="1" s="1"/>
  <c r="I94" i="1" s="1"/>
  <c r="G77" i="1"/>
  <c r="B192" i="1" s="1"/>
  <c r="G73" i="1"/>
  <c r="B188" i="1" s="1"/>
  <c r="G64" i="1"/>
  <c r="B179" i="1" s="1"/>
  <c r="G61" i="1"/>
  <c r="B176" i="1" s="1"/>
  <c r="G58" i="1"/>
  <c r="G54" i="1"/>
  <c r="B169" i="1" s="1"/>
  <c r="G50" i="1"/>
  <c r="G56" i="1"/>
  <c r="B171" i="1" s="1"/>
  <c r="G52" i="1"/>
  <c r="G48" i="1"/>
  <c r="B163" i="1" s="1"/>
  <c r="G46" i="1"/>
  <c r="G44" i="1"/>
  <c r="B159" i="1" s="1"/>
  <c r="G42" i="1"/>
  <c r="B174" i="1"/>
  <c r="B170" i="1"/>
  <c r="B166" i="1"/>
  <c r="B162" i="1"/>
  <c r="B158" i="1"/>
  <c r="B173" i="1"/>
  <c r="B165" i="1"/>
  <c r="B161" i="1"/>
  <c r="B172" i="1"/>
  <c r="B168" i="1"/>
  <c r="B164" i="1"/>
  <c r="B156" i="1"/>
  <c r="B167" i="1"/>
  <c r="B155" i="1"/>
  <c r="N41" i="1"/>
  <c r="H41" i="1" l="1"/>
  <c r="H42" i="1" s="1"/>
  <c r="J41" i="1"/>
  <c r="D94" i="1"/>
  <c r="J94" i="1" s="1"/>
  <c r="G80" i="1"/>
  <c r="G81" i="1" s="1"/>
  <c r="B157" i="1"/>
  <c r="H43" i="1" l="1"/>
  <c r="C96" i="1"/>
  <c r="D96" i="1" s="1"/>
  <c r="E96" i="1" s="1"/>
  <c r="C95" i="1"/>
  <c r="D95" i="1" s="1"/>
  <c r="J42" i="1"/>
  <c r="J43" i="1" s="1"/>
  <c r="N42" i="1"/>
  <c r="E94" i="1"/>
  <c r="I96" i="1"/>
  <c r="J96" i="1" s="1"/>
  <c r="N43" i="1"/>
  <c r="H44" i="1" l="1"/>
  <c r="C97" i="1"/>
  <c r="J44" i="1"/>
  <c r="I95" i="1"/>
  <c r="J95" i="1" s="1"/>
  <c r="E95" i="1"/>
  <c r="N44" i="1"/>
  <c r="H45" i="1" l="1"/>
  <c r="C98" i="1"/>
  <c r="D98" i="1" s="1"/>
  <c r="D97" i="1"/>
  <c r="E97" i="1" s="1"/>
  <c r="I97" i="1"/>
  <c r="J97" i="1" s="1"/>
  <c r="N45" i="1"/>
  <c r="J45" i="1"/>
  <c r="H46" i="1" l="1"/>
  <c r="C99" i="1"/>
  <c r="I98" i="1"/>
  <c r="J98" i="1" s="1"/>
  <c r="E98" i="1"/>
  <c r="J46" i="1"/>
  <c r="N46" i="1"/>
  <c r="H47" i="1" l="1"/>
  <c r="C100" i="1"/>
  <c r="D99" i="1"/>
  <c r="E99" i="1" s="1"/>
  <c r="I99" i="1"/>
  <c r="J99" i="1" s="1"/>
  <c r="N47" i="1"/>
  <c r="J47" i="1"/>
  <c r="H48" i="1" l="1"/>
  <c r="C101" i="1"/>
  <c r="D101" i="1" s="1"/>
  <c r="D100" i="1"/>
  <c r="E100" i="1" s="1"/>
  <c r="I100" i="1"/>
  <c r="J100" i="1" s="1"/>
  <c r="J48" i="1"/>
  <c r="N48" i="1"/>
  <c r="H49" i="1" l="1"/>
  <c r="C102" i="1"/>
  <c r="I101" i="1"/>
  <c r="J101" i="1" s="1"/>
  <c r="E101" i="1"/>
  <c r="N49" i="1"/>
  <c r="J49" i="1"/>
  <c r="H50" i="1" l="1"/>
  <c r="C103" i="1"/>
  <c r="D102" i="1"/>
  <c r="E102" i="1" s="1"/>
  <c r="I102" i="1"/>
  <c r="J102" i="1" s="1"/>
  <c r="N50" i="1"/>
  <c r="J50" i="1"/>
  <c r="H51" i="1" l="1"/>
  <c r="C104" i="1"/>
  <c r="D103" i="1"/>
  <c r="E103" i="1" s="1"/>
  <c r="I103" i="1"/>
  <c r="J103" i="1" s="1"/>
  <c r="N51" i="1"/>
  <c r="J51" i="1"/>
  <c r="H52" i="1" l="1"/>
  <c r="C105" i="1"/>
  <c r="D104" i="1"/>
  <c r="E104" i="1" s="1"/>
  <c r="I104" i="1"/>
  <c r="J104" i="1" s="1"/>
  <c r="J52" i="1"/>
  <c r="N52" i="1"/>
  <c r="H53" i="1" l="1"/>
  <c r="C106" i="1"/>
  <c r="D106" i="1" s="1"/>
  <c r="D105" i="1"/>
  <c r="E105" i="1" s="1"/>
  <c r="I105" i="1"/>
  <c r="J105" i="1" s="1"/>
  <c r="J53" i="1"/>
  <c r="N53" i="1"/>
  <c r="H54" i="1" l="1"/>
  <c r="C107" i="1"/>
  <c r="I106" i="1"/>
  <c r="J106" i="1" s="1"/>
  <c r="E106" i="1"/>
  <c r="N54" i="1"/>
  <c r="J54" i="1"/>
  <c r="H55" i="1" l="1"/>
  <c r="C108" i="1"/>
  <c r="D107" i="1"/>
  <c r="E107" i="1" s="1"/>
  <c r="I107" i="1"/>
  <c r="J107" i="1" s="1"/>
  <c r="J55" i="1"/>
  <c r="N55" i="1"/>
  <c r="H56" i="1" l="1"/>
  <c r="C109" i="1"/>
  <c r="D109" i="1" s="1"/>
  <c r="D108" i="1"/>
  <c r="E108" i="1" s="1"/>
  <c r="I108" i="1"/>
  <c r="J108" i="1" s="1"/>
  <c r="J56" i="1"/>
  <c r="N56" i="1"/>
  <c r="H57" i="1" l="1"/>
  <c r="C110" i="1"/>
  <c r="D110" i="1" s="1"/>
  <c r="I109" i="1"/>
  <c r="J109" i="1" s="1"/>
  <c r="E109" i="1"/>
  <c r="N57" i="1"/>
  <c r="J57" i="1"/>
  <c r="H58" i="1" l="1"/>
  <c r="C111" i="1"/>
  <c r="I110" i="1"/>
  <c r="J110" i="1" s="1"/>
  <c r="E110" i="1"/>
  <c r="J58" i="1"/>
  <c r="N58" i="1"/>
  <c r="H59" i="1" l="1"/>
  <c r="C112" i="1"/>
  <c r="D111" i="1"/>
  <c r="E111" i="1" s="1"/>
  <c r="I111" i="1"/>
  <c r="J111" i="1" s="1"/>
  <c r="N59" i="1"/>
  <c r="J59" i="1"/>
  <c r="H60" i="1" l="1"/>
  <c r="C113" i="1"/>
  <c r="D113" i="1" s="1"/>
  <c r="D112" i="1"/>
  <c r="E112" i="1" s="1"/>
  <c r="I112" i="1"/>
  <c r="J112" i="1" s="1"/>
  <c r="N60" i="1"/>
  <c r="J60" i="1"/>
  <c r="H61" i="1" l="1"/>
  <c r="C114" i="1"/>
  <c r="I113" i="1"/>
  <c r="J113" i="1" s="1"/>
  <c r="E113" i="1"/>
  <c r="J61" i="1"/>
  <c r="N61" i="1"/>
  <c r="H62" i="1" l="1"/>
  <c r="C115" i="1"/>
  <c r="J62" i="1"/>
  <c r="D114" i="1"/>
  <c r="E114" i="1" s="1"/>
  <c r="I114" i="1"/>
  <c r="J114" i="1" s="1"/>
  <c r="N62" i="1"/>
  <c r="J63" i="1" l="1"/>
  <c r="H63" i="1"/>
  <c r="C116" i="1"/>
  <c r="D115" i="1"/>
  <c r="E115" i="1" s="1"/>
  <c r="I115" i="1"/>
  <c r="J115" i="1" s="1"/>
  <c r="N63" i="1"/>
  <c r="H64" i="1" l="1"/>
  <c r="C117" i="1"/>
  <c r="D116" i="1"/>
  <c r="E116" i="1" s="1"/>
  <c r="N64" i="1"/>
  <c r="J64" i="1"/>
  <c r="I116" i="1" l="1"/>
  <c r="J116" i="1" s="1"/>
  <c r="H65" i="1"/>
  <c r="C118" i="1"/>
  <c r="D117" i="1"/>
  <c r="E117" i="1" s="1"/>
  <c r="J65" i="1"/>
  <c r="N65" i="1"/>
  <c r="I117" i="1" l="1"/>
  <c r="J117" i="1" s="1"/>
  <c r="H66" i="1"/>
  <c r="C119" i="1"/>
  <c r="D118" i="1"/>
  <c r="E118" i="1" s="1"/>
  <c r="J66" i="1"/>
  <c r="N66" i="1"/>
  <c r="I118" i="1" l="1"/>
  <c r="J118" i="1" s="1"/>
  <c r="H67" i="1"/>
  <c r="C120" i="1"/>
  <c r="D119" i="1"/>
  <c r="E119" i="1" s="1"/>
  <c r="J67" i="1"/>
  <c r="N67" i="1"/>
  <c r="H68" i="1" l="1"/>
  <c r="C121" i="1"/>
  <c r="J68" i="1"/>
  <c r="I119" i="1"/>
  <c r="J119" i="1" s="1"/>
  <c r="D120" i="1"/>
  <c r="E120" i="1" s="1"/>
  <c r="N68" i="1"/>
  <c r="H69" i="1" l="1"/>
  <c r="C122" i="1"/>
  <c r="I120" i="1"/>
  <c r="J120" i="1" s="1"/>
  <c r="D121" i="1"/>
  <c r="E121" i="1" s="1"/>
  <c r="J69" i="1"/>
  <c r="N69" i="1"/>
  <c r="I121" i="1" l="1"/>
  <c r="J121" i="1" s="1"/>
  <c r="H70" i="1"/>
  <c r="C123" i="1"/>
  <c r="D122" i="1"/>
  <c r="E122" i="1" s="1"/>
  <c r="J70" i="1"/>
  <c r="N70" i="1"/>
  <c r="H71" i="1" l="1"/>
  <c r="C124" i="1"/>
  <c r="I122" i="1"/>
  <c r="J122" i="1" s="1"/>
  <c r="D123" i="1"/>
  <c r="E123" i="1" s="1"/>
  <c r="N71" i="1"/>
  <c r="J71" i="1"/>
  <c r="I123" i="1" l="1"/>
  <c r="J123" i="1" s="1"/>
  <c r="H72" i="1"/>
  <c r="M72" i="1"/>
  <c r="C125" i="1"/>
  <c r="D124" i="1"/>
  <c r="E124" i="1" s="1"/>
  <c r="N72" i="1"/>
  <c r="J72" i="1"/>
  <c r="I124" i="1" l="1"/>
  <c r="J124" i="1" s="1"/>
  <c r="D125" i="1"/>
  <c r="E125" i="1" s="1"/>
  <c r="H73" i="1"/>
  <c r="C126" i="1"/>
  <c r="M73" i="1"/>
  <c r="N73" i="1"/>
  <c r="J73" i="1"/>
  <c r="I125" i="1" l="1"/>
  <c r="J125" i="1" s="1"/>
  <c r="D126" i="1"/>
  <c r="E126" i="1" s="1"/>
  <c r="H74" i="1"/>
  <c r="C127" i="1"/>
  <c r="N74" i="1"/>
  <c r="M74" i="1"/>
  <c r="J74" i="1"/>
  <c r="I126" i="1" l="1"/>
  <c r="J126" i="1" s="1"/>
  <c r="D127" i="1"/>
  <c r="E127" i="1" s="1"/>
  <c r="H75" i="1"/>
  <c r="C128" i="1"/>
  <c r="M75" i="1"/>
  <c r="J75" i="1"/>
  <c r="N75" i="1"/>
  <c r="I127" i="1" l="1"/>
  <c r="J127" i="1" s="1"/>
  <c r="D128" i="1"/>
  <c r="E128" i="1" s="1"/>
  <c r="H76" i="1"/>
  <c r="C129" i="1"/>
  <c r="J76" i="1"/>
  <c r="N76" i="1"/>
  <c r="M76" i="1"/>
  <c r="D129" i="1" l="1"/>
  <c r="E129" i="1" s="1"/>
  <c r="I128" i="1"/>
  <c r="J128" i="1" s="1"/>
  <c r="H77" i="1"/>
  <c r="C130" i="1"/>
  <c r="M77" i="1"/>
  <c r="J77" i="1"/>
  <c r="N77" i="1"/>
  <c r="H78" i="1" l="1"/>
  <c r="C131" i="1"/>
  <c r="I129" i="1"/>
  <c r="J129" i="1" s="1"/>
  <c r="D130" i="1"/>
  <c r="E130" i="1" s="1"/>
  <c r="J78" i="1"/>
  <c r="M78" i="1"/>
  <c r="N78" i="1"/>
  <c r="I130" i="1" l="1"/>
  <c r="J130" i="1" s="1"/>
  <c r="D131" i="1"/>
  <c r="E131" i="1" s="1"/>
  <c r="H79" i="1"/>
  <c r="C133" i="1" s="1"/>
  <c r="D133" i="1" s="1"/>
  <c r="C132" i="1"/>
  <c r="M79" i="1"/>
  <c r="J79" i="1"/>
  <c r="J80" i="1" s="1"/>
  <c r="I81" i="1" s="1"/>
  <c r="N79" i="1"/>
  <c r="D132" i="1" l="1"/>
  <c r="E132" i="1" s="1"/>
  <c r="I131" i="1"/>
  <c r="J131" i="1" s="1"/>
  <c r="I133" i="1"/>
  <c r="J133" i="1" s="1"/>
  <c r="F133" i="1"/>
  <c r="F132" i="1" s="1"/>
  <c r="F131" i="1" s="1"/>
  <c r="F130" i="1" s="1"/>
  <c r="F129" i="1" s="1"/>
  <c r="F128" i="1" s="1"/>
  <c r="F127" i="1" s="1"/>
  <c r="F126" i="1" s="1"/>
  <c r="F125" i="1" s="1"/>
  <c r="F124" i="1" s="1"/>
  <c r="F123" i="1" s="1"/>
  <c r="F122" i="1" s="1"/>
  <c r="F121" i="1" s="1"/>
  <c r="F120" i="1" s="1"/>
  <c r="F119" i="1" s="1"/>
  <c r="F118" i="1" s="1"/>
  <c r="F117" i="1" s="1"/>
  <c r="F116" i="1" s="1"/>
  <c r="F115" i="1" s="1"/>
  <c r="F114" i="1" s="1"/>
  <c r="F113" i="1" s="1"/>
  <c r="F112" i="1" s="1"/>
  <c r="F111" i="1" s="1"/>
  <c r="F110" i="1" s="1"/>
  <c r="F109" i="1" s="1"/>
  <c r="F108" i="1" s="1"/>
  <c r="F107" i="1" s="1"/>
  <c r="F106" i="1" s="1"/>
  <c r="F105" i="1" s="1"/>
  <c r="F104" i="1" s="1"/>
  <c r="F103" i="1" s="1"/>
  <c r="F102" i="1" s="1"/>
  <c r="F101" i="1" s="1"/>
  <c r="F100" i="1" s="1"/>
  <c r="F99" i="1" s="1"/>
  <c r="F98" i="1" s="1"/>
  <c r="F97" i="1" s="1"/>
  <c r="F96" i="1" s="1"/>
  <c r="F95" i="1" s="1"/>
  <c r="F94" i="1" s="1"/>
  <c r="E133" i="1"/>
  <c r="M80" i="1"/>
  <c r="N80" i="1"/>
  <c r="I132" i="1" l="1"/>
  <c r="J132" i="1" s="1"/>
  <c r="B197" i="1"/>
  <c r="J81" i="1"/>
  <c r="C98" i="2" l="1"/>
  <c r="C96" i="2"/>
  <c r="C88" i="2"/>
  <c r="C91" i="2"/>
  <c r="C99" i="2"/>
  <c r="C94" i="2"/>
  <c r="C89" i="2"/>
  <c r="C93" i="2"/>
  <c r="C92" i="2"/>
  <c r="C87" i="2"/>
  <c r="C90" i="2"/>
  <c r="C100" i="2"/>
  <c r="C95" i="2"/>
  <c r="C86" i="2"/>
  <c r="C84" i="2"/>
  <c r="C85" i="2"/>
  <c r="C97" i="2"/>
  <c r="C83" i="2"/>
  <c r="E97" i="2" l="1"/>
  <c r="D272" i="2"/>
  <c r="E84" i="2"/>
  <c r="D259" i="2"/>
  <c r="D265" i="2"/>
  <c r="E90" i="2"/>
  <c r="D267" i="2"/>
  <c r="E92" i="2"/>
  <c r="E83" i="2"/>
  <c r="D258" i="2"/>
  <c r="E258" i="2" s="1"/>
  <c r="E259" i="2" s="1"/>
  <c r="C101" i="2"/>
  <c r="C102" i="2" s="1"/>
  <c r="D260" i="2"/>
  <c r="E85" i="2"/>
  <c r="D261" i="2"/>
  <c r="E86" i="2"/>
  <c r="E100" i="2"/>
  <c r="D275" i="2"/>
  <c r="D262" i="2"/>
  <c r="E87" i="2"/>
  <c r="E93" i="2"/>
  <c r="D268" i="2"/>
  <c r="D269" i="2"/>
  <c r="E94" i="2"/>
  <c r="D266" i="2"/>
  <c r="E91" i="2"/>
  <c r="E96" i="2"/>
  <c r="D271" i="2"/>
  <c r="H44" i="2"/>
  <c r="D43" i="2"/>
  <c r="E95" i="2"/>
  <c r="D270" i="2"/>
  <c r="E89" i="2"/>
  <c r="D264" i="2"/>
  <c r="E99" i="2"/>
  <c r="D274" i="2"/>
  <c r="D263" i="2"/>
  <c r="E88" i="2"/>
  <c r="E98" i="2"/>
  <c r="D273" i="2"/>
  <c r="H332" i="2" l="1"/>
  <c r="E260" i="2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101" i="2"/>
  <c r="F92" i="2" s="1"/>
  <c r="B323" i="2" s="1"/>
  <c r="F61" i="2" l="1"/>
  <c r="F70" i="2"/>
  <c r="B301" i="2" s="1"/>
  <c r="F63" i="2"/>
  <c r="B294" i="2" s="1"/>
  <c r="F85" i="2"/>
  <c r="B316" i="2" s="1"/>
  <c r="F71" i="2"/>
  <c r="B302" i="2" s="1"/>
  <c r="F82" i="2"/>
  <c r="B313" i="2" s="1"/>
  <c r="F77" i="2"/>
  <c r="B308" i="2" s="1"/>
  <c r="F66" i="2"/>
  <c r="B297" i="2" s="1"/>
  <c r="F81" i="2"/>
  <c r="B312" i="2" s="1"/>
  <c r="F89" i="2"/>
  <c r="B320" i="2" s="1"/>
  <c r="F75" i="2"/>
  <c r="B306" i="2" s="1"/>
  <c r="F98" i="2"/>
  <c r="B329" i="2" s="1"/>
  <c r="F62" i="2"/>
  <c r="B293" i="2" s="1"/>
  <c r="F72" i="2"/>
  <c r="B303" i="2" s="1"/>
  <c r="F95" i="2"/>
  <c r="B326" i="2" s="1"/>
  <c r="F65" i="2"/>
  <c r="B296" i="2" s="1"/>
  <c r="F80" i="2"/>
  <c r="B311" i="2" s="1"/>
  <c r="F87" i="2"/>
  <c r="B318" i="2" s="1"/>
  <c r="F76" i="2"/>
  <c r="B307" i="2" s="1"/>
  <c r="F93" i="2"/>
  <c r="B324" i="2" s="1"/>
  <c r="F84" i="2"/>
  <c r="B315" i="2" s="1"/>
  <c r="F83" i="2"/>
  <c r="B314" i="2" s="1"/>
  <c r="F79" i="2"/>
  <c r="B310" i="2" s="1"/>
  <c r="F78" i="2"/>
  <c r="B309" i="2" s="1"/>
  <c r="F68" i="2"/>
  <c r="B299" i="2" s="1"/>
  <c r="F100" i="2"/>
  <c r="B331" i="2" s="1"/>
  <c r="F99" i="2"/>
  <c r="B330" i="2" s="1"/>
  <c r="F74" i="2"/>
  <c r="B305" i="2" s="1"/>
  <c r="F94" i="2"/>
  <c r="B325" i="2" s="1"/>
  <c r="F67" i="2"/>
  <c r="B298" i="2" s="1"/>
  <c r="F91" i="2"/>
  <c r="B322" i="2" s="1"/>
  <c r="F88" i="2"/>
  <c r="B319" i="2" s="1"/>
  <c r="F64" i="2"/>
  <c r="B295" i="2" s="1"/>
  <c r="F90" i="2"/>
  <c r="B321" i="2" s="1"/>
  <c r="F86" i="2"/>
  <c r="B317" i="2" s="1"/>
  <c r="F73" i="2"/>
  <c r="B304" i="2" s="1"/>
  <c r="F96" i="2"/>
  <c r="B327" i="2" s="1"/>
  <c r="F97" i="2"/>
  <c r="B328" i="2" s="1"/>
  <c r="F69" i="2"/>
  <c r="B300" i="2" s="1"/>
  <c r="B292" i="2" l="1"/>
  <c r="G61" i="2"/>
  <c r="C177" i="2" l="1"/>
  <c r="C236" i="2"/>
  <c r="G236" i="2" s="1"/>
  <c r="H236" i="2" s="1"/>
  <c r="C121" i="2"/>
  <c r="G62" i="2"/>
  <c r="C122" i="2" l="1"/>
  <c r="C178" i="2"/>
  <c r="C237" i="2"/>
  <c r="G237" i="2" s="1"/>
  <c r="H237" i="2" s="1"/>
  <c r="G63" i="2"/>
  <c r="C179" i="2" l="1"/>
  <c r="C123" i="2"/>
  <c r="C238" i="2"/>
  <c r="G238" i="2" s="1"/>
  <c r="H238" i="2" s="1"/>
  <c r="G64" i="2"/>
  <c r="C124" i="2" l="1"/>
  <c r="C180" i="2"/>
  <c r="C239" i="2"/>
  <c r="G239" i="2" s="1"/>
  <c r="H239" i="2" s="1"/>
  <c r="G65" i="2"/>
  <c r="C125" i="2" l="1"/>
  <c r="C181" i="2"/>
  <c r="C240" i="2"/>
  <c r="G240" i="2" s="1"/>
  <c r="H240" i="2" s="1"/>
  <c r="G66" i="2"/>
  <c r="C182" i="2" l="1"/>
  <c r="C126" i="2"/>
  <c r="G67" i="2"/>
  <c r="C241" i="2"/>
  <c r="G241" i="2" s="1"/>
  <c r="H241" i="2" s="1"/>
  <c r="C127" i="2" l="1"/>
  <c r="C183" i="2"/>
  <c r="G68" i="2"/>
  <c r="C242" i="2"/>
  <c r="G242" i="2" s="1"/>
  <c r="H242" i="2" s="1"/>
  <c r="C128" i="2" l="1"/>
  <c r="C184" i="2"/>
  <c r="C243" i="2"/>
  <c r="G243" i="2" s="1"/>
  <c r="H243" i="2" s="1"/>
  <c r="G69" i="2"/>
  <c r="C185" i="2" l="1"/>
  <c r="C129" i="2"/>
  <c r="C244" i="2"/>
  <c r="G244" i="2" s="1"/>
  <c r="H244" i="2" s="1"/>
  <c r="G70" i="2"/>
  <c r="C186" i="2" l="1"/>
  <c r="C130" i="2"/>
  <c r="G71" i="2"/>
  <c r="C245" i="2"/>
  <c r="G245" i="2" s="1"/>
  <c r="H245" i="2" s="1"/>
  <c r="C131" i="2" l="1"/>
  <c r="C187" i="2"/>
  <c r="C246" i="2"/>
  <c r="G246" i="2" s="1"/>
  <c r="H246" i="2" s="1"/>
  <c r="G72" i="2"/>
  <c r="C132" i="2" l="1"/>
  <c r="C188" i="2"/>
  <c r="G73" i="2"/>
  <c r="C247" i="2"/>
  <c r="G247" i="2" s="1"/>
  <c r="H247" i="2" s="1"/>
  <c r="C133" i="2" l="1"/>
  <c r="C189" i="2"/>
  <c r="C248" i="2"/>
  <c r="G248" i="2" s="1"/>
  <c r="H248" i="2" s="1"/>
  <c r="G74" i="2"/>
  <c r="C134" i="2" l="1"/>
  <c r="C190" i="2"/>
  <c r="C249" i="2"/>
  <c r="G249" i="2" s="1"/>
  <c r="H249" i="2" s="1"/>
  <c r="G75" i="2"/>
  <c r="C191" i="2" l="1"/>
  <c r="C135" i="2"/>
  <c r="G76" i="2"/>
  <c r="C250" i="2"/>
  <c r="G250" i="2" s="1"/>
  <c r="H250" i="2" s="1"/>
  <c r="C136" i="2" l="1"/>
  <c r="C192" i="2"/>
  <c r="C251" i="2"/>
  <c r="G251" i="2" s="1"/>
  <c r="H251" i="2" s="1"/>
  <c r="G77" i="2"/>
  <c r="C193" i="2" l="1"/>
  <c r="C137" i="2"/>
  <c r="C252" i="2"/>
  <c r="G252" i="2" s="1"/>
  <c r="H252" i="2" s="1"/>
  <c r="G78" i="2"/>
  <c r="C194" i="2" l="1"/>
  <c r="C138" i="2"/>
  <c r="C253" i="2"/>
  <c r="G253" i="2" s="1"/>
  <c r="H253" i="2" s="1"/>
  <c r="G79" i="2"/>
  <c r="C139" i="2" l="1"/>
  <c r="C195" i="2"/>
  <c r="G80" i="2"/>
  <c r="C254" i="2"/>
  <c r="G254" i="2" s="1"/>
  <c r="H254" i="2" s="1"/>
  <c r="C140" i="2" l="1"/>
  <c r="C196" i="2"/>
  <c r="C255" i="2"/>
  <c r="G255" i="2" s="1"/>
  <c r="H255" i="2" s="1"/>
  <c r="G81" i="2"/>
  <c r="C197" i="2" l="1"/>
  <c r="C141" i="2"/>
  <c r="C256" i="2"/>
  <c r="G256" i="2" s="1"/>
  <c r="H256" i="2" s="1"/>
  <c r="G82" i="2"/>
  <c r="C198" i="2" l="1"/>
  <c r="C142" i="2"/>
  <c r="C257" i="2"/>
  <c r="G257" i="2" s="1"/>
  <c r="H257" i="2" s="1"/>
  <c r="G83" i="2"/>
  <c r="I84" i="2" l="1"/>
  <c r="G84" i="2"/>
  <c r="C258" i="2"/>
  <c r="C143" i="2"/>
  <c r="C199" i="2"/>
  <c r="I85" i="2" l="1"/>
  <c r="G85" i="2"/>
  <c r="C259" i="2"/>
  <c r="C144" i="2"/>
  <c r="C200" i="2"/>
  <c r="I86" i="2" l="1"/>
  <c r="G86" i="2"/>
  <c r="C260" i="2"/>
  <c r="C145" i="2"/>
  <c r="C201" i="2"/>
  <c r="I87" i="2" l="1"/>
  <c r="C261" i="2"/>
  <c r="C202" i="2"/>
  <c r="G87" i="2"/>
  <c r="C146" i="2"/>
  <c r="I88" i="2" l="1"/>
  <c r="C147" i="2"/>
  <c r="C203" i="2"/>
  <c r="C262" i="2"/>
  <c r="G88" i="2"/>
  <c r="I89" i="2" l="1"/>
  <c r="C263" i="2"/>
  <c r="C148" i="2"/>
  <c r="C204" i="2"/>
  <c r="G89" i="2"/>
  <c r="I90" i="2" l="1"/>
  <c r="C205" i="2"/>
  <c r="C149" i="2"/>
  <c r="C264" i="2"/>
  <c r="G90" i="2"/>
  <c r="I91" i="2" l="1"/>
  <c r="C265" i="2"/>
  <c r="C150" i="2"/>
  <c r="C206" i="2"/>
  <c r="G91" i="2"/>
  <c r="I92" i="2" l="1"/>
  <c r="C266" i="2"/>
  <c r="C207" i="2"/>
  <c r="C151" i="2"/>
  <c r="G92" i="2"/>
  <c r="I93" i="2" l="1"/>
  <c r="C152" i="2"/>
  <c r="C208" i="2"/>
  <c r="G93" i="2"/>
  <c r="C267" i="2"/>
  <c r="C268" i="2" l="1"/>
  <c r="I94" i="2"/>
  <c r="C153" i="2"/>
  <c r="C209" i="2"/>
  <c r="G94" i="2"/>
  <c r="I95" i="2" l="1"/>
  <c r="C210" i="2"/>
  <c r="G95" i="2"/>
  <c r="C154" i="2"/>
  <c r="C269" i="2"/>
  <c r="I96" i="2" l="1"/>
  <c r="C155" i="2"/>
  <c r="C270" i="2"/>
  <c r="C211" i="2"/>
  <c r="G96" i="2"/>
  <c r="I97" i="2" l="1"/>
  <c r="C271" i="2"/>
  <c r="G97" i="2"/>
  <c r="C212" i="2"/>
  <c r="C156" i="2"/>
  <c r="I98" i="2" l="1"/>
  <c r="C272" i="2"/>
  <c r="C157" i="2"/>
  <c r="C213" i="2"/>
  <c r="G98" i="2"/>
  <c r="I99" i="2" l="1"/>
  <c r="C214" i="2"/>
  <c r="C158" i="2"/>
  <c r="C273" i="2"/>
  <c r="G99" i="2"/>
  <c r="C215" i="2" l="1"/>
  <c r="I100" i="2"/>
  <c r="G100" i="2"/>
  <c r="C159" i="2"/>
  <c r="C274" i="2"/>
  <c r="G102" i="2" l="1"/>
  <c r="I101" i="2"/>
  <c r="C216" i="2"/>
  <c r="C275" i="2"/>
  <c r="C160" i="2"/>
  <c r="E160" i="2" l="1"/>
  <c r="F160" i="2" s="1"/>
  <c r="G160" i="2" s="1"/>
  <c r="D160" i="2"/>
  <c r="D159" i="2" s="1"/>
  <c r="D216" i="2"/>
  <c r="D215" i="2" s="1"/>
  <c r="E216" i="2"/>
  <c r="F216" i="2" s="1"/>
  <c r="B334" i="2"/>
  <c r="H103" i="2"/>
  <c r="I103" i="2" s="1"/>
  <c r="F275" i="2" l="1"/>
  <c r="G275" i="2" s="1"/>
  <c r="H275" i="2" s="1"/>
  <c r="G216" i="2"/>
  <c r="E159" i="2"/>
  <c r="F159" i="2" s="1"/>
  <c r="G159" i="2" s="1"/>
  <c r="D158" i="2"/>
  <c r="E215" i="2"/>
  <c r="F215" i="2" s="1"/>
  <c r="D214" i="2"/>
  <c r="G215" i="2" l="1"/>
  <c r="F274" i="2"/>
  <c r="G274" i="2" s="1"/>
  <c r="H274" i="2" s="1"/>
  <c r="E214" i="2"/>
  <c r="F214" i="2" s="1"/>
  <c r="D213" i="2"/>
  <c r="E158" i="2"/>
  <c r="F158" i="2" s="1"/>
  <c r="G158" i="2" s="1"/>
  <c r="D157" i="2"/>
  <c r="E157" i="2" l="1"/>
  <c r="F157" i="2" s="1"/>
  <c r="G157" i="2" s="1"/>
  <c r="D156" i="2"/>
  <c r="E213" i="2"/>
  <c r="F213" i="2" s="1"/>
  <c r="D212" i="2"/>
  <c r="G214" i="2"/>
  <c r="F273" i="2"/>
  <c r="G273" i="2" s="1"/>
  <c r="H273" i="2" s="1"/>
  <c r="E212" i="2" l="1"/>
  <c r="F212" i="2" s="1"/>
  <c r="D211" i="2"/>
  <c r="E156" i="2"/>
  <c r="F156" i="2" s="1"/>
  <c r="G156" i="2" s="1"/>
  <c r="D155" i="2"/>
  <c r="F272" i="2"/>
  <c r="G272" i="2" s="1"/>
  <c r="H272" i="2" s="1"/>
  <c r="G213" i="2"/>
  <c r="E155" i="2" l="1"/>
  <c r="F155" i="2" s="1"/>
  <c r="G155" i="2" s="1"/>
  <c r="D154" i="2"/>
  <c r="E211" i="2"/>
  <c r="F211" i="2" s="1"/>
  <c r="D210" i="2"/>
  <c r="G212" i="2"/>
  <c r="F271" i="2"/>
  <c r="G271" i="2" s="1"/>
  <c r="H271" i="2" s="1"/>
  <c r="E210" i="2" l="1"/>
  <c r="F210" i="2" s="1"/>
  <c r="D209" i="2"/>
  <c r="E154" i="2"/>
  <c r="F154" i="2" s="1"/>
  <c r="G154" i="2" s="1"/>
  <c r="D153" i="2"/>
  <c r="F270" i="2"/>
  <c r="G270" i="2" s="1"/>
  <c r="H270" i="2" s="1"/>
  <c r="G211" i="2"/>
  <c r="E153" i="2" l="1"/>
  <c r="F153" i="2" s="1"/>
  <c r="G153" i="2" s="1"/>
  <c r="D152" i="2"/>
  <c r="E209" i="2"/>
  <c r="F209" i="2" s="1"/>
  <c r="D208" i="2"/>
  <c r="G210" i="2"/>
  <c r="F269" i="2"/>
  <c r="G269" i="2" s="1"/>
  <c r="H269" i="2" s="1"/>
  <c r="E208" i="2" l="1"/>
  <c r="F208" i="2" s="1"/>
  <c r="D207" i="2"/>
  <c r="E152" i="2"/>
  <c r="F152" i="2" s="1"/>
  <c r="G152" i="2" s="1"/>
  <c r="D151" i="2"/>
  <c r="F268" i="2"/>
  <c r="G268" i="2" s="1"/>
  <c r="H268" i="2" s="1"/>
  <c r="G209" i="2"/>
  <c r="E151" i="2" l="1"/>
  <c r="F151" i="2" s="1"/>
  <c r="G151" i="2" s="1"/>
  <c r="D150" i="2"/>
  <c r="E207" i="2"/>
  <c r="F207" i="2" s="1"/>
  <c r="D206" i="2"/>
  <c r="F267" i="2"/>
  <c r="G267" i="2" s="1"/>
  <c r="H267" i="2" s="1"/>
  <c r="G208" i="2"/>
  <c r="G207" i="2" l="1"/>
  <c r="F266" i="2"/>
  <c r="G266" i="2" s="1"/>
  <c r="H266" i="2" s="1"/>
  <c r="E206" i="2"/>
  <c r="F206" i="2" s="1"/>
  <c r="D205" i="2"/>
  <c r="E150" i="2"/>
  <c r="F150" i="2" s="1"/>
  <c r="G150" i="2" s="1"/>
  <c r="D149" i="2"/>
  <c r="E149" i="2" l="1"/>
  <c r="F149" i="2" s="1"/>
  <c r="G149" i="2" s="1"/>
  <c r="D148" i="2"/>
  <c r="E205" i="2"/>
  <c r="F205" i="2" s="1"/>
  <c r="D204" i="2"/>
  <c r="G206" i="2"/>
  <c r="F265" i="2"/>
  <c r="G265" i="2" s="1"/>
  <c r="H265" i="2" s="1"/>
  <c r="E204" i="2" l="1"/>
  <c r="F204" i="2" s="1"/>
  <c r="D203" i="2"/>
  <c r="E148" i="2"/>
  <c r="F148" i="2" s="1"/>
  <c r="G148" i="2" s="1"/>
  <c r="D147" i="2"/>
  <c r="F264" i="2"/>
  <c r="G264" i="2" s="1"/>
  <c r="H264" i="2" s="1"/>
  <c r="G205" i="2"/>
  <c r="E147" i="2" l="1"/>
  <c r="F147" i="2" s="1"/>
  <c r="G147" i="2" s="1"/>
  <c r="D146" i="2"/>
  <c r="E203" i="2"/>
  <c r="F203" i="2" s="1"/>
  <c r="D202" i="2"/>
  <c r="G204" i="2"/>
  <c r="F263" i="2"/>
  <c r="G263" i="2" s="1"/>
  <c r="H263" i="2" s="1"/>
  <c r="E202" i="2" l="1"/>
  <c r="F202" i="2" s="1"/>
  <c r="D201" i="2"/>
  <c r="E146" i="2"/>
  <c r="F146" i="2" s="1"/>
  <c r="G146" i="2" s="1"/>
  <c r="D145" i="2"/>
  <c r="F262" i="2"/>
  <c r="G262" i="2" s="1"/>
  <c r="H262" i="2" s="1"/>
  <c r="G203" i="2"/>
  <c r="E145" i="2" l="1"/>
  <c r="F145" i="2" s="1"/>
  <c r="G145" i="2" s="1"/>
  <c r="D144" i="2"/>
  <c r="E201" i="2"/>
  <c r="F201" i="2" s="1"/>
  <c r="D200" i="2"/>
  <c r="G202" i="2"/>
  <c r="F261" i="2"/>
  <c r="G261" i="2" s="1"/>
  <c r="H261" i="2" s="1"/>
  <c r="E200" i="2" l="1"/>
  <c r="F200" i="2" s="1"/>
  <c r="D199" i="2"/>
  <c r="E144" i="2"/>
  <c r="F144" i="2" s="1"/>
  <c r="G144" i="2" s="1"/>
  <c r="D143" i="2"/>
  <c r="G201" i="2"/>
  <c r="F260" i="2"/>
  <c r="G260" i="2" s="1"/>
  <c r="H260" i="2" s="1"/>
  <c r="E143" i="2" l="1"/>
  <c r="D142" i="2"/>
  <c r="E199" i="2"/>
  <c r="F199" i="2" s="1"/>
  <c r="D198" i="2"/>
  <c r="F143" i="2"/>
  <c r="G143" i="2" s="1"/>
  <c r="F259" i="2"/>
  <c r="G259" i="2" s="1"/>
  <c r="H259" i="2" s="1"/>
  <c r="G200" i="2"/>
  <c r="E198" i="2" l="1"/>
  <c r="D197" i="2"/>
  <c r="E142" i="2"/>
  <c r="F142" i="2" s="1"/>
  <c r="G142" i="2" s="1"/>
  <c r="D141" i="2"/>
  <c r="F198" i="2"/>
  <c r="F258" i="2"/>
  <c r="G258" i="2" s="1"/>
  <c r="H258" i="2" s="1"/>
  <c r="G199" i="2"/>
  <c r="E141" i="2" l="1"/>
  <c r="F141" i="2" s="1"/>
  <c r="G141" i="2" s="1"/>
  <c r="D140" i="2"/>
  <c r="E197" i="2"/>
  <c r="F197" i="2" s="1"/>
  <c r="D196" i="2"/>
  <c r="G198" i="2"/>
  <c r="F257" i="2"/>
  <c r="F256" i="2" l="1"/>
  <c r="G197" i="2"/>
  <c r="E196" i="2"/>
  <c r="F196" i="2" s="1"/>
  <c r="D195" i="2"/>
  <c r="E140" i="2"/>
  <c r="F140" i="2" s="1"/>
  <c r="G140" i="2" s="1"/>
  <c r="D139" i="2"/>
  <c r="E139" i="2" l="1"/>
  <c r="F139" i="2" s="1"/>
  <c r="G139" i="2" s="1"/>
  <c r="D138" i="2"/>
  <c r="D194" i="2"/>
  <c r="E195" i="2"/>
  <c r="F195" i="2" s="1"/>
  <c r="G196" i="2"/>
  <c r="F255" i="2"/>
  <c r="G195" i="2" l="1"/>
  <c r="F254" i="2"/>
  <c r="D137" i="2"/>
  <c r="E138" i="2"/>
  <c r="F138" i="2" s="1"/>
  <c r="G138" i="2" s="1"/>
  <c r="D193" i="2"/>
  <c r="E194" i="2"/>
  <c r="F194" i="2" s="1"/>
  <c r="G194" i="2" l="1"/>
  <c r="F253" i="2"/>
  <c r="D192" i="2"/>
  <c r="E193" i="2"/>
  <c r="F193" i="2" s="1"/>
  <c r="D136" i="2"/>
  <c r="E137" i="2"/>
  <c r="F137" i="2" s="1"/>
  <c r="G137" i="2" s="1"/>
  <c r="G193" i="2" l="1"/>
  <c r="F252" i="2"/>
  <c r="E136" i="2"/>
  <c r="F136" i="2" s="1"/>
  <c r="G136" i="2" s="1"/>
  <c r="D135" i="2"/>
  <c r="D191" i="2"/>
  <c r="E192" i="2"/>
  <c r="F192" i="2" s="1"/>
  <c r="D190" i="2" l="1"/>
  <c r="E191" i="2"/>
  <c r="F191" i="2" s="1"/>
  <c r="G192" i="2"/>
  <c r="F251" i="2"/>
  <c r="D134" i="2"/>
  <c r="E135" i="2"/>
  <c r="F135" i="2" s="1"/>
  <c r="G135" i="2" s="1"/>
  <c r="G191" i="2" l="1"/>
  <c r="F250" i="2"/>
  <c r="D133" i="2"/>
  <c r="E134" i="2"/>
  <c r="F134" i="2" s="1"/>
  <c r="G134" i="2" s="1"/>
  <c r="E190" i="2"/>
  <c r="F190" i="2" s="1"/>
  <c r="D189" i="2"/>
  <c r="D188" i="2" l="1"/>
  <c r="E189" i="2"/>
  <c r="F189" i="2" s="1"/>
  <c r="G190" i="2"/>
  <c r="F249" i="2"/>
  <c r="D132" i="2"/>
  <c r="E133" i="2"/>
  <c r="F133" i="2" s="1"/>
  <c r="G133" i="2" s="1"/>
  <c r="F248" i="2" l="1"/>
  <c r="G189" i="2"/>
  <c r="E132" i="2"/>
  <c r="F132" i="2" s="1"/>
  <c r="G132" i="2" s="1"/>
  <c r="D131" i="2"/>
  <c r="E188" i="2"/>
  <c r="F188" i="2" s="1"/>
  <c r="D187" i="2"/>
  <c r="E187" i="2" l="1"/>
  <c r="F187" i="2" s="1"/>
  <c r="D186" i="2"/>
  <c r="D130" i="2"/>
  <c r="E131" i="2"/>
  <c r="F131" i="2" s="1"/>
  <c r="G131" i="2" s="1"/>
  <c r="G188" i="2"/>
  <c r="F247" i="2"/>
  <c r="E186" i="2" l="1"/>
  <c r="F186" i="2" s="1"/>
  <c r="D185" i="2"/>
  <c r="D129" i="2"/>
  <c r="E130" i="2"/>
  <c r="F130" i="2" s="1"/>
  <c r="G130" i="2" s="1"/>
  <c r="F246" i="2"/>
  <c r="G187" i="2"/>
  <c r="E185" i="2" l="1"/>
  <c r="F185" i="2" s="1"/>
  <c r="D184" i="2"/>
  <c r="D128" i="2"/>
  <c r="E129" i="2"/>
  <c r="F129" i="2" s="1"/>
  <c r="G129" i="2" s="1"/>
  <c r="F245" i="2"/>
  <c r="G186" i="2"/>
  <c r="D183" i="2" l="1"/>
  <c r="E184" i="2"/>
  <c r="F184" i="2" s="1"/>
  <c r="D127" i="2"/>
  <c r="E128" i="2"/>
  <c r="F128" i="2" s="1"/>
  <c r="G128" i="2" s="1"/>
  <c r="F244" i="2"/>
  <c r="G185" i="2"/>
  <c r="G184" i="2" l="1"/>
  <c r="F243" i="2"/>
  <c r="E127" i="2"/>
  <c r="F127" i="2" s="1"/>
  <c r="G127" i="2" s="1"/>
  <c r="D126" i="2"/>
  <c r="E183" i="2"/>
  <c r="F183" i="2" s="1"/>
  <c r="D182" i="2"/>
  <c r="G183" i="2" l="1"/>
  <c r="F242" i="2"/>
  <c r="E182" i="2"/>
  <c r="F182" i="2" s="1"/>
  <c r="D181" i="2"/>
  <c r="D125" i="2"/>
  <c r="E126" i="2"/>
  <c r="F126" i="2" s="1"/>
  <c r="G126" i="2" s="1"/>
  <c r="E181" i="2" l="1"/>
  <c r="F181" i="2" s="1"/>
  <c r="D180" i="2"/>
  <c r="E125" i="2"/>
  <c r="F125" i="2" s="1"/>
  <c r="G125" i="2" s="1"/>
  <c r="D124" i="2"/>
  <c r="G182" i="2"/>
  <c r="F241" i="2"/>
  <c r="E124" i="2" l="1"/>
  <c r="F124" i="2" s="1"/>
  <c r="G124" i="2" s="1"/>
  <c r="D123" i="2"/>
  <c r="D179" i="2"/>
  <c r="E180" i="2"/>
  <c r="F180" i="2" s="1"/>
  <c r="G181" i="2"/>
  <c r="F240" i="2"/>
  <c r="F239" i="2" l="1"/>
  <c r="G180" i="2"/>
  <c r="E123" i="2"/>
  <c r="F123" i="2" s="1"/>
  <c r="G123" i="2" s="1"/>
  <c r="D122" i="2"/>
  <c r="E179" i="2"/>
  <c r="F179" i="2" s="1"/>
  <c r="D178" i="2"/>
  <c r="E178" i="2" l="1"/>
  <c r="F178" i="2" s="1"/>
  <c r="D177" i="2"/>
  <c r="E177" i="2" s="1"/>
  <c r="D121" i="2"/>
  <c r="E121" i="2" s="1"/>
  <c r="E122" i="2"/>
  <c r="F122" i="2" s="1"/>
  <c r="G122" i="2" s="1"/>
  <c r="F238" i="2"/>
  <c r="G179" i="2"/>
  <c r="F177" i="2" l="1"/>
  <c r="G177" i="2" s="1"/>
  <c r="F121" i="2"/>
  <c r="G121" i="2" s="1"/>
  <c r="E289" i="2"/>
  <c r="F237" i="2"/>
  <c r="G178" i="2"/>
  <c r="F236" i="2" l="1"/>
</calcChain>
</file>

<file path=xl/comments1.xml><?xml version="1.0" encoding="utf-8"?>
<comments xmlns="http://schemas.openxmlformats.org/spreadsheetml/2006/main">
  <authors>
    <author>rapin</author>
  </authors>
  <commentList>
    <comment ref="F11" authorId="0">
      <text>
        <r>
          <rPr>
            <sz val="12"/>
            <color indexed="81"/>
            <rFont val="Tahoma"/>
            <family val="2"/>
          </rPr>
          <t>อิฐมอญขนาด 3x7x15 ซม.+ฉาบปูน            = 180 กก/ม^2
อิฐมอญหนา 15 ซม. ไม่ฉาบปูน                   = 310  กก/ม^2
อิฐมอญหนา 20 ซม ไม่ฉาบปูน                    = 360    กก/ม^2
อิฐมวลเบา ขนาด 7.5x20x60 ไม่ฉาบปูน      = 45   กก/ม^2
อิฐมวลเบา ขนาด 7.5x20x60 ฉาบปูน 2 ด้าน = 90  กก/ม^2
อิฐมวลเบา ขนาด 20x20x60 ไม่ฉาบปูน        = 126 กก/ม^2
อิฐมวลเบา ขนาด 20x20x60 ฉาบปูน 2 ด้าน  = 180 กก/ม^2
ปูนฉาบหนา 20 มม.                                      =  26  กก/ม^2
คอนกรีตบล็อกหนา 4 นิ้ว                              = 150  กก/ม^2
คอนกรีตบล็อกหนา 6 นิ้ว                              = 180  กก/ม^2
คอนกรีตบล็อกหนา 8 นิ้ว                              = 240  กก/ม^2
ฝาไม้อัดชิบบอร์ดด้านเดียวรวมโครงเคร่า       = 12    กก/ม^2
ฝาไม้อัดชิบบอร์ดสองด้านรวมโครงเคร่า       = 12    กก/ม^2
กระจกหนา 1 นิ้ว                                          = 68     กก/ม^2
หน้าต่างกระจกและโครงยึด                          =38     กก/ม^2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>ตัวประกอบปรัลผลตอบสนอง</t>
        </r>
      </text>
    </comment>
    <comment ref="I27" authorId="0">
      <text>
        <r>
          <rPr>
            <b/>
            <sz val="9"/>
            <color indexed="81"/>
            <rFont val="Tahoma"/>
            <family val="2"/>
          </rPr>
          <t>ตัวประกอบกำลังส่วนเกิน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7" authorId="0">
      <text>
        <r>
          <rPr>
            <b/>
            <sz val="9"/>
            <color indexed="81"/>
            <rFont val="Tahoma"/>
            <family val="2"/>
          </rPr>
          <t xml:space="preserve">ตัวประกอบขยายค่าการโก่งตัว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" authorId="0">
      <text>
        <r>
          <rPr>
            <b/>
            <sz val="18"/>
            <color indexed="81"/>
            <rFont val="Tahoma"/>
            <family val="2"/>
          </rPr>
          <t>ส่วนของการเลือกใช้ชนิดของประเภทอาคาร ผู้ใช้ต้องประเภท ค่าเอง  เช่น  โปรแกรมคิด ค่าจาก SDS เป็น ก  SD1 เป็น ค  แต่ประเภทอาคารที่ใช้ไม่สามารถออกแบบ แรง ค ได้ ต้องเลือกประเภทโครงสร้างใหม่</t>
        </r>
      </text>
    </comment>
    <comment ref="H40" authorId="0">
      <text>
        <r>
          <rPr>
            <b/>
            <sz val="20"/>
            <color indexed="81"/>
            <rFont val="Angsana New"/>
            <family val="1"/>
          </rPr>
          <t>K = 1.0 เมื่อ T</t>
        </r>
        <r>
          <rPr>
            <b/>
            <sz val="20"/>
            <color indexed="81"/>
            <rFont val="Symbol"/>
            <family val="1"/>
            <charset val="2"/>
          </rPr>
          <t>£</t>
        </r>
        <r>
          <rPr>
            <b/>
            <sz val="20"/>
            <color indexed="81"/>
            <rFont val="Angsana New"/>
            <family val="1"/>
          </rPr>
          <t xml:space="preserve"> 0.5 วินาที
K = 1+(T-0.5)/2  เมื่อ 0.5 วินาที &lt; T&lt; 2.5 วินาที
K = 2.0  เมื่อ T</t>
        </r>
        <r>
          <rPr>
            <b/>
            <sz val="20"/>
            <color indexed="81"/>
            <rFont val="Symbol"/>
            <family val="1"/>
            <charset val="2"/>
          </rPr>
          <t>³</t>
        </r>
        <r>
          <rPr>
            <b/>
            <sz val="20"/>
            <color indexed="81"/>
            <rFont val="Angsana New"/>
            <family val="1"/>
          </rPr>
          <t xml:space="preserve"> 2.5  วินาที</t>
        </r>
      </text>
    </comment>
    <comment ref="C120" authorId="0">
      <text>
        <r>
          <rPr>
            <b/>
            <sz val="9"/>
            <color indexed="81"/>
            <rFont val="Tahoma"/>
            <family val="2"/>
          </rPr>
          <t xml:space="preserve">การเคลื่อนที่ของแต่ละชั้น
</t>
        </r>
      </text>
    </comment>
    <comment ref="E120" authorId="0">
      <text>
        <r>
          <rPr>
            <b/>
            <sz val="9"/>
            <color indexed="81"/>
            <rFont val="Tahoma"/>
            <family val="2"/>
          </rPr>
          <t>การเคลื่อนที่จากฐาน</t>
        </r>
      </text>
    </comment>
    <comment ref="C176" authorId="0">
      <text>
        <r>
          <rPr>
            <b/>
            <sz val="9"/>
            <color indexed="81"/>
            <rFont val="Tahoma"/>
            <family val="2"/>
          </rPr>
          <t xml:space="preserve">การเคลื่อนที่ของแต่ละชั้น
</t>
        </r>
      </text>
    </comment>
    <comment ref="E176" authorId="0">
      <text>
        <r>
          <rPr>
            <b/>
            <sz val="9"/>
            <color indexed="81"/>
            <rFont val="Tahoma"/>
            <family val="2"/>
          </rPr>
          <t>การเคลื่อนที่จากฐาน</t>
        </r>
      </text>
    </comment>
  </commentList>
</comments>
</file>

<file path=xl/comments2.xml><?xml version="1.0" encoding="utf-8"?>
<comments xmlns="http://schemas.openxmlformats.org/spreadsheetml/2006/main">
  <authors>
    <author>rapin</author>
  </authors>
  <commentList>
    <comment ref="F12" authorId="0">
      <text>
        <r>
          <rPr>
            <sz val="12"/>
            <color indexed="81"/>
            <rFont val="Tahoma"/>
            <family val="2"/>
          </rPr>
          <t>อิฐมอญขนาด 3x7x15 ซม.+ฉาบปูน            = 180 กก/ม^2
อิฐมอญหนา 15 ซม. ไม่ฉาบปูน                   = 310  กก/ม^2
อิฐมอญหนา 20 ซม ไม่ฉาบปูน                    = 360    กก/ม^2
อิฐมวลเบา ขนาด 7.5x20x60 ไม่ฉาบปูน      = 45   กก/ม^2
อิฐมวลเบา ขนาด 7.5x20x60 ฉาบปูน 2 ด้าน = 90  กก/ม^2
อิฐมวลเบา ขนาด 20x20x60 ไม่ฉาบปูน        = 126 กก/ม^2
อิฐมวลเบา ขนาด 20x20x60 ฉาบปูน 2 ด้าน  = 180 กก/ม^2
ปูนฉาบหนา 20 มม.                                      =  26  กก/ม^2
คอนกรีตบล็อกหนา 4 นิ้ว                              = 150  กก/ม^2
คอนกรีตบล็อกหนา 6 นิ้ว                              = 180  กก/ม^2
คอนกรีตบล็อกหนา 8 นิ้ว                              = 240  กก/ม^2
ฝาไม้อัดชิบบอร์ดด้านเดียวรวมโครงเคร่า       = 12    กก/ม^2
ฝาไม้อัดชิบบอร์ดสองด้านรวมโครงเคร่า       = 12    กก/ม^2
กระจกหนา 1 นิ้ว                                          = 68     กก/ม^2
หน้าต่างกระจกและโครงยึด                          =38     กก/ม^2</t>
        </r>
      </text>
    </comment>
  </commentList>
</comments>
</file>

<file path=xl/comments3.xml><?xml version="1.0" encoding="utf-8"?>
<comments xmlns="http://schemas.openxmlformats.org/spreadsheetml/2006/main">
  <authors>
    <author>rapin</author>
  </authors>
  <commentList>
    <comment ref="F11" authorId="0">
      <text>
        <r>
          <rPr>
            <sz val="12"/>
            <color indexed="81"/>
            <rFont val="Tahoma"/>
            <family val="2"/>
          </rPr>
          <t>อิฐมอญขนาด 3x7x15 ซม.+ฉาบปูน            = 180 กก/ม^2
อิฐมอญหนา 15 ซม. ไม่ฉาบปูน                   = 310  กก/ม^2
อิฐมอญหนา 20 ซม ไม่ฉาบปูน                    = 360    กก/ม^2
อิฐมวลเบา ขนาด 7.5x20x60 ไม่ฉาบปูน      = 45   กก/ม^2
อิฐมวลเบา ขนาด 7.5x20x60 ฉาบปูน 2 ด้าน = 90  กก/ม^2
อิฐมวลเบา ขนาด 20x20x60 ไม่ฉาบปูน        = 126 กก/ม^2
อิฐมวลเบา ขนาด 20x20x60 ฉาบปูน 2 ด้าน  = 180 กก/ม^2
ปูนฉาบหนา 20 มม.                                      =  26  กก/ม^2
คอนกรีตบล็อกหนา 4 นิ้ว                              = 150  กก/ม^2
คอนกรีตบล็อกหนา 6 นิ้ว                              = 180  กก/ม^2
คอนกรีตบล็อกหนา 8 นิ้ว                              = 240  กก/ม^2
ฝาไม้อัดชิบบอร์ดด้านเดียวรวมโครงเคร่า       = 12    กก/ม^2
ฝาไม้อัดชิบบอร์ดสองด้านรวมโครงเคร่า       = 12    กก/ม^2
กระจกหนา 1 นิ้ว                                          = 68     กก/ม^2
หน้าต่างกระจกและโครงยึด                          =38     กก/ม^2</t>
        </r>
      </text>
    </comment>
  </commentList>
</comments>
</file>

<file path=xl/sharedStrings.xml><?xml version="1.0" encoding="utf-8"?>
<sst xmlns="http://schemas.openxmlformats.org/spreadsheetml/2006/main" count="1762" uniqueCount="470">
  <si>
    <t>ค่าZ</t>
  </si>
  <si>
    <t>บริเวณที่</t>
  </si>
  <si>
    <t>พื้นที่</t>
  </si>
  <si>
    <t>บริเวณที่ 2 ภาคเหนือและภาคตะวันตก</t>
  </si>
  <si>
    <t>บริเวณที่ 1 กรุงเทพฯปริมณฑลและภาคใต้</t>
  </si>
  <si>
    <t>1 อาคารอื่นๆ</t>
  </si>
  <si>
    <t>1.25 อาคารที่มีคนชุมนุม 300 คนต่อครั้งขึ้นไป อาทิ โรงมหรสรรพ, คอนโดมิเนียม,หอพัก</t>
  </si>
  <si>
    <t>1.5 อาคารสาธารณะ อาทิ โรงเรียน,สำนักงาน</t>
  </si>
  <si>
    <t>อาคารโครงสร้างเหล็ก</t>
  </si>
  <si>
    <t>อาคารโครงสร้างเหล็กมีกำแพงรับแรงเฉือนหรือโครงแกงแนงร่วมกับโครงสร้าง</t>
  </si>
  <si>
    <t>ถังเก็บน้ำสูง</t>
  </si>
  <si>
    <t>โครงสร้างทั่วไป</t>
  </si>
  <si>
    <t>K =</t>
  </si>
  <si>
    <t>อาคารโครงคสล.มีกำแพงรับแรงเฉือนหรือโครงแกงแนงร่วมกับโครงสร้าง</t>
  </si>
  <si>
    <t>ข้อมูลองค์ออาคาร</t>
  </si>
  <si>
    <t>อาคารด้านกว้าง</t>
  </si>
  <si>
    <t>m</t>
  </si>
  <si>
    <t>ความสูงอาคารทั้งสิ้น</t>
  </si>
  <si>
    <t>ความสูงต่อชั้น</t>
  </si>
  <si>
    <t xml:space="preserve">อาคารด้านยาว </t>
  </si>
  <si>
    <t>m.</t>
  </si>
  <si>
    <t>จำนวนชั้นของอาคาร</t>
  </si>
  <si>
    <t>ชั้น</t>
  </si>
  <si>
    <t>สำหรับโครงสร้างต้านแรงดัดที่มีความเหนียว T = 0.10N  เมื่อ N คือจำนวนชั้นของอาคาร</t>
  </si>
  <si>
    <t>C =</t>
  </si>
  <si>
    <t>หากค่า C มากกว่า 0.12 ใช้ 0.12</t>
  </si>
  <si>
    <t>หิน</t>
  </si>
  <si>
    <t>ดินแข็ง</t>
  </si>
  <si>
    <t>ดินอ่อน</t>
  </si>
  <si>
    <t>ดินอ่อนมาก</t>
  </si>
  <si>
    <t>ประเภทชั้นดิน</t>
  </si>
  <si>
    <t>พื้น</t>
  </si>
  <si>
    <t>คาน</t>
  </si>
  <si>
    <t>เสา</t>
  </si>
  <si>
    <t>กว้าง</t>
  </si>
  <si>
    <t>ลึก</t>
  </si>
  <si>
    <t>มิติ</t>
  </si>
  <si>
    <t>อิฐมอญหนา 20 ซม ไม่ฉาบปูน</t>
  </si>
  <si>
    <t>อิฐมอญขนาด 3x7x15 ซม.+ฉาบปูน</t>
  </si>
  <si>
    <t>อิฐมอญหนา 15 ซม. ไม่ฉาบปูน</t>
  </si>
  <si>
    <t>อิฐมวลเบา ขนาด 7.5x20x60 ไม่ฉาบปูน</t>
  </si>
  <si>
    <t>อิฐมวลเบา ขนาด 7.5x20x60 ฉาบปูน 2 ด้าน</t>
  </si>
  <si>
    <t>อิฐมวลเบา ขนาด 20x20x60 ไม่ฉาบปูน</t>
  </si>
  <si>
    <t>อิฐมวลเบา ขนาด 20x20x60 ฉาบปูน 2 ด้าน</t>
  </si>
  <si>
    <t xml:space="preserve">ปูนฉาบหนา 20 มม. </t>
  </si>
  <si>
    <t>คอนกรีตบล็อกหนา 4 นิ้ว</t>
  </si>
  <si>
    <t>คอนกรีตบล็อกหนา 6 นิ้ว</t>
  </si>
  <si>
    <t>คอนกรีตบล็อกหนา 8 นิ้ว</t>
  </si>
  <si>
    <t>ฝาไม้อัดชิบบอร์ดด้านเดียวรวมโครงเคร่า</t>
  </si>
  <si>
    <t>ฝาไม้อัดชิบบอร์ดสองด้านรวมโครงเคร่า</t>
  </si>
  <si>
    <t>กระจกหนา 1 นิ้ว</t>
  </si>
  <si>
    <t>หน้าต่างกระจกและโครงยึด</t>
  </si>
  <si>
    <t>น้ำหนัก</t>
  </si>
  <si>
    <t>น้ำหนักกระทำต่ออาคาร</t>
  </si>
  <si>
    <t>ผนังอิฐ</t>
  </si>
  <si>
    <t>กำแพงคลส.</t>
  </si>
  <si>
    <t>ความยาวทั้งหมดของผนังอิฐ</t>
  </si>
  <si>
    <t>ความยาวทั้งหมดของคาน</t>
  </si>
  <si>
    <t>ความยาวทั้งหมดของกำแพงคสล.</t>
  </si>
  <si>
    <t>จำนวนเสาทั้งหมด</t>
  </si>
  <si>
    <t>รวมน้ำหนักต่อ 1 ชั้น</t>
  </si>
  <si>
    <t>วัสดุปูผิว</t>
  </si>
  <si>
    <t>อื่นๆ</t>
  </si>
  <si>
    <t>นน.คาน</t>
  </si>
  <si>
    <t>กำแพงคสล.</t>
  </si>
  <si>
    <t>อื่น</t>
  </si>
  <si>
    <t>รวมน้ำหนักอาคาร</t>
  </si>
  <si>
    <t>น้ำหนักต่อชั้น</t>
  </si>
  <si>
    <t>นน.พื้น</t>
  </si>
  <si>
    <t>C.S =</t>
  </si>
  <si>
    <t xml:space="preserve">V = ZIKCSW </t>
  </si>
  <si>
    <t>%ของน้ำหนักอาคาร</t>
  </si>
  <si>
    <t>Tons</t>
  </si>
  <si>
    <t xml:space="preserve">เมื่อ T </t>
  </si>
  <si>
    <t>&lt; 0.7</t>
  </si>
  <si>
    <t>Ft =</t>
  </si>
  <si>
    <t>เมื่อ T &lt; 0.7 FT จะเท่ากับ 0</t>
  </si>
  <si>
    <t>FT จากสูตรนี้ต้องไม่เกิน 0.25 V</t>
  </si>
  <si>
    <t>Fx =</t>
  </si>
  <si>
    <t>Wx(tons)</t>
  </si>
  <si>
    <t>hx(m.)</t>
  </si>
  <si>
    <t>Wxhx</t>
  </si>
  <si>
    <t>Fx(Tons)</t>
  </si>
  <si>
    <t>รวม</t>
  </si>
  <si>
    <r>
      <t>Wxhx/(</t>
    </r>
    <r>
      <rPr>
        <b/>
        <sz val="12"/>
        <color theme="1"/>
        <rFont val="Symbol"/>
        <family val="1"/>
        <charset val="2"/>
      </rPr>
      <t>å</t>
    </r>
    <r>
      <rPr>
        <b/>
        <sz val="12"/>
        <color theme="1"/>
        <rFont val="AngsanaUPC"/>
        <family val="2"/>
        <charset val="222"/>
      </rPr>
      <t>Wh)</t>
    </r>
  </si>
  <si>
    <r>
      <t xml:space="preserve">หาก C.S มากกว่า </t>
    </r>
    <r>
      <rPr>
        <sz val="14"/>
        <color theme="1"/>
        <rFont val="Calibri"/>
        <family val="2"/>
      </rPr>
      <t xml:space="preserve">0.14 </t>
    </r>
    <r>
      <rPr>
        <sz val="14"/>
        <color theme="1"/>
        <rFont val="Cordia New"/>
        <family val="2"/>
      </rPr>
      <t xml:space="preserve">ให้ใช้ค่า </t>
    </r>
    <r>
      <rPr>
        <sz val="14"/>
        <color theme="1"/>
        <rFont val="Calibri"/>
        <family val="2"/>
      </rPr>
      <t xml:space="preserve">0.14  </t>
    </r>
    <r>
      <rPr>
        <sz val="14"/>
        <color theme="1"/>
        <rFont val="Cordia New"/>
        <family val="2"/>
      </rPr>
      <t xml:space="preserve">เว้นแต่กรณีดินอ่อนมาก ถ้าผลคูณดังกล่าวมากกว่า </t>
    </r>
    <r>
      <rPr>
        <sz val="14"/>
        <color theme="1"/>
        <rFont val="Calibri"/>
        <family val="2"/>
      </rPr>
      <t xml:space="preserve">0.26 </t>
    </r>
    <r>
      <rPr>
        <sz val="14"/>
        <color theme="1"/>
        <rFont val="Cordia New"/>
        <family val="2"/>
      </rPr>
      <t xml:space="preserve">ให้ใช้เท่ากับ </t>
    </r>
    <r>
      <rPr>
        <sz val="14"/>
        <color theme="1"/>
        <rFont val="Calibri"/>
        <family val="2"/>
      </rPr>
      <t>0.26)</t>
    </r>
  </si>
  <si>
    <t>VX (tons)</t>
  </si>
  <si>
    <t>Mx (Tons-m)</t>
  </si>
  <si>
    <t>Vx=</t>
  </si>
  <si>
    <t>Mx =</t>
  </si>
  <si>
    <t>Tons-m</t>
  </si>
  <si>
    <t>ใช้ค่า CS =</t>
  </si>
  <si>
    <t>MR = W*(D/2) =</t>
  </si>
  <si>
    <t xml:space="preserve">Step 10  การเคลื่อนตัวสัมพันธ์ระหว่างชั้น ∆x </t>
  </si>
  <si>
    <r>
      <t xml:space="preserve"> 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Stylus BT"/>
        <family val="2"/>
      </rPr>
      <t>X</t>
    </r>
    <r>
      <rPr>
        <sz val="11"/>
        <color theme="1"/>
        <rFont val="Calibri"/>
        <family val="2"/>
      </rPr>
      <t xml:space="preserve">= Vx/K </t>
    </r>
    <r>
      <rPr>
        <sz val="14"/>
        <color theme="1"/>
        <rFont val="Cordia New"/>
        <family val="2"/>
      </rPr>
      <t xml:space="preserve">เมื่อค่า </t>
    </r>
    <r>
      <rPr>
        <sz val="11"/>
        <color theme="1"/>
        <rFont val="Calibri"/>
        <family val="2"/>
      </rPr>
      <t xml:space="preserve">K </t>
    </r>
    <r>
      <rPr>
        <sz val="14"/>
        <color theme="1"/>
        <rFont val="Cordia New"/>
        <family val="2"/>
      </rPr>
      <t>คือ สติฟเนสต้านแรงด้านข้าง</t>
    </r>
  </si>
  <si>
    <r>
      <t xml:space="preserve">สติฟเนสของเสา  </t>
    </r>
    <r>
      <rPr>
        <sz val="11"/>
        <color theme="1"/>
        <rFont val="Calibri"/>
        <family val="2"/>
      </rPr>
      <t>K</t>
    </r>
    <r>
      <rPr>
        <vertAlign val="subscript"/>
        <sz val="11"/>
        <color theme="1"/>
        <rFont val="Calibri"/>
        <family val="2"/>
      </rPr>
      <t>col</t>
    </r>
    <r>
      <rPr>
        <sz val="11"/>
        <color theme="1"/>
        <rFont val="Calibri"/>
        <family val="2"/>
      </rPr>
      <t xml:space="preserve"> = 12</t>
    </r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</rPr>
      <t>EI/h</t>
    </r>
    <r>
      <rPr>
        <vertAlign val="superscript"/>
        <sz val="11"/>
        <color theme="1"/>
        <rFont val="Calibri"/>
        <family val="2"/>
      </rPr>
      <t xml:space="preserve">3    </t>
    </r>
  </si>
  <si>
    <t>Ec = 15120</t>
  </si>
  <si>
    <t>f'c</t>
  </si>
  <si>
    <t>Kg./cm^2</t>
  </si>
  <si>
    <t>Tons/Cm.</t>
  </si>
  <si>
    <r>
      <t xml:space="preserve"> </t>
    </r>
    <r>
      <rPr>
        <b/>
        <sz val="16"/>
        <color theme="1"/>
        <rFont val="Symbol"/>
        <family val="1"/>
        <charset val="2"/>
      </rPr>
      <t>D</t>
    </r>
    <r>
      <rPr>
        <b/>
        <sz val="16"/>
        <color theme="1"/>
        <rFont val="AngsanaUPC"/>
        <family val="2"/>
        <charset val="222"/>
      </rPr>
      <t>X (cm.)</t>
    </r>
  </si>
  <si>
    <r>
      <rPr>
        <b/>
        <sz val="16"/>
        <color theme="1"/>
        <rFont val="Symbol"/>
        <family val="1"/>
        <charset val="2"/>
      </rPr>
      <t>d</t>
    </r>
    <r>
      <rPr>
        <b/>
        <sz val="13.6"/>
        <color theme="1"/>
        <rFont val="AngsanaUPC"/>
        <family val="2"/>
        <charset val="222"/>
      </rPr>
      <t>X(Cm.)</t>
    </r>
  </si>
  <si>
    <t>V x (T)</t>
  </si>
  <si>
    <r>
      <t xml:space="preserve">การเคลือนตัวสัมพัทธ์ </t>
    </r>
    <r>
      <rPr>
        <sz val="9.35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</rPr>
      <t>X  ต้องไม่เกิน 0.005 hx</t>
    </r>
  </si>
  <si>
    <t>Cm</t>
  </si>
  <si>
    <r>
      <t xml:space="preserve"> </t>
    </r>
    <r>
      <rPr>
        <b/>
        <sz val="16"/>
        <color theme="1"/>
        <rFont val="Symbol"/>
        <family val="1"/>
        <charset val="2"/>
      </rPr>
      <t>D</t>
    </r>
    <r>
      <rPr>
        <b/>
        <sz val="16"/>
        <color theme="1"/>
        <rFont val="AngsanaUPC"/>
        <family val="2"/>
        <charset val="222"/>
      </rPr>
      <t>X &lt;0.005hx</t>
    </r>
  </si>
  <si>
    <r>
      <t xml:space="preserve">การตรวจสอบผลกระทบที่เกิดจากแรงและการเคลื่อนตัวหรือ </t>
    </r>
    <r>
      <rPr>
        <sz val="11"/>
        <color theme="1"/>
        <rFont val="Calibri"/>
        <family val="2"/>
      </rPr>
      <t>P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</rPr>
      <t xml:space="preserve"> Effect  </t>
    </r>
    <r>
      <rPr>
        <sz val="14"/>
        <color theme="1"/>
        <rFont val="Cordia New"/>
        <family val="2"/>
      </rPr>
      <t xml:space="preserve">ซึ่งเป็นการตรวจสอบค่าโมเมนต์ที่เพิ่มขึ้นเนื่องจากน้ำหนักเคลื่อนตัวในแนวราบของแต่ละชั้น  </t>
    </r>
  </si>
  <si>
    <t>ของโครงสร้างแต่ละชั้นคูณกับระยะการเปรียบเทียบค่าโมเมนต์ที่เกิดจากแรงเฉือนที่เกิดจากแผ่นดินไหวที่กระทำกับเสาในแต่ละชั้นคูณความสูงของแต่ละชั้นดังนี้</t>
  </si>
  <si>
    <r>
      <t xml:space="preserve"> หาก มีค่า น้อยกว่า </t>
    </r>
    <r>
      <rPr>
        <sz val="11"/>
        <color theme="1"/>
        <rFont val="Calibri"/>
        <family val="2"/>
      </rPr>
      <t xml:space="preserve">0.1 </t>
    </r>
    <r>
      <rPr>
        <sz val="14"/>
        <color theme="1"/>
        <rFont val="Cordia New"/>
        <family val="2"/>
      </rPr>
      <t xml:space="preserve">ไม่ต้องคิดค่าโมเมนต์ที่เพิ่มขึ้น  หาก มากกว่า </t>
    </r>
    <r>
      <rPr>
        <sz val="11"/>
        <color theme="1"/>
        <rFont val="Calibri"/>
        <family val="2"/>
      </rPr>
      <t xml:space="preserve">0.1 </t>
    </r>
    <r>
      <rPr>
        <sz val="14"/>
        <color theme="1"/>
        <rFont val="Cordia New"/>
        <family val="2"/>
      </rPr>
      <t xml:space="preserve"> จะต้องพิจารณาค่าโมเมนต์ที่เพิ่มขึ้นจากการเคลื่อนตัวทางข้างในการคำนวณออกแบบเสา</t>
    </r>
  </si>
  <si>
    <t>Px(Tons)</t>
  </si>
  <si>
    <t>q</t>
  </si>
  <si>
    <r>
      <rPr>
        <sz val="14"/>
        <color theme="1"/>
        <rFont val="Symbol"/>
        <family val="1"/>
        <charset val="2"/>
      </rPr>
      <t>q</t>
    </r>
    <r>
      <rPr>
        <sz val="11"/>
        <color theme="1"/>
        <rFont val="Calibri"/>
        <family val="2"/>
      </rPr>
      <t xml:space="preserve">=เมื่อ       คือสัมประสิทธิ์ความมั่นคงซึ่งเป็นอัตราส่วนระหว่างโมเมนต์ที่เพิ่มขึ้นจากการเคลื่อนตัวทางข้างต่อโมเมนต์ที่เกิดแรงแผ่นดินไหว </t>
    </r>
  </si>
  <si>
    <t>Vที่ฐานอาคาร =</t>
  </si>
  <si>
    <t>FS= MR/M =</t>
  </si>
  <si>
    <t>เปรียบเทียบ 9 ชั้น</t>
  </si>
  <si>
    <t>Design Programs By : Aditap Israngku Na AyutthaYa (13/9/2556)</t>
  </si>
  <si>
    <t>หมายเหตุ ภาคอีสานและภาตใต้(ปัตตานี,นราธิวาส,ยะลา) ไม่ต้องออกแบบแรงแผ่นดินไหวเพราะอยู่ในเขต บริเวณ 0</t>
  </si>
  <si>
    <t>Step 5 สัมประสิทธิ์การประสานความถี่ธรรมชาติระหว่างอาคารและชั้นดิน (S)</t>
  </si>
  <si>
    <t>STEP1.  สัมประสิทธิ์ความเข้มของแผ่นดินไหว   ค่า  (Z)</t>
  </si>
  <si>
    <t>STEP 2.   ตัวคูณเกี่ยวกับการใช้งาน ค่า  (I)</t>
  </si>
  <si>
    <t>STEP 3 . สัมประสิทธิ์การรับแรงในแนวราบ ค่า (K)</t>
  </si>
  <si>
    <t>STEP4   สัมประสิทธิ์คาบการสั่นไหว (C)</t>
  </si>
  <si>
    <t>Step 7 คำนวณแรงเฉือนที่ฐาน V</t>
  </si>
  <si>
    <t xml:space="preserve">Step 8 การกระจายแรงด้านข้าง  Fx </t>
  </si>
  <si>
    <t>Step 11  การคำนวณค่าสัมประสัทธิ์เสถียรภาพ (Stability Coefficient)</t>
  </si>
  <si>
    <t>คานแกงแนง</t>
  </si>
  <si>
    <t>ความยาวทั้งหมดของคานแกงแนง</t>
  </si>
  <si>
    <t>ข้อมูลอาคาร</t>
  </si>
  <si>
    <t>น้าหนักกระทำต่ออาคาร</t>
  </si>
  <si>
    <t>Z</t>
  </si>
  <si>
    <t>I</t>
  </si>
  <si>
    <t>K</t>
  </si>
  <si>
    <t>C</t>
  </si>
  <si>
    <t>V</t>
  </si>
  <si>
    <t>S</t>
  </si>
  <si>
    <t>Fx</t>
  </si>
  <si>
    <t xml:space="preserve">∆x </t>
  </si>
  <si>
    <t>คนไม่รู้สึกต้องใช้เครื่องมือตรวจวัด</t>
  </si>
  <si>
    <t>คนที่มีความรู้สึกไวจะรู้สึก</t>
  </si>
  <si>
    <t>คนที่อยู่กับพื้นจะรู้สึกว่าพื้นสั่น</t>
  </si>
  <si>
    <t>คนที่สัญจรไปมารู้สึก</t>
  </si>
  <si>
    <t>ไม่ต้องออกแบบแรงแผ่นดินไหว</t>
  </si>
  <si>
    <t>คนที่นอนหลับจะตกใจ</t>
  </si>
  <si>
    <t>ต้นไม้สั่นบ้านแกว่งอาคารบางชนิดพัง</t>
  </si>
  <si>
    <t>บริเวณที่ 1 กรุงเทพฯและปริมณฑล</t>
  </si>
  <si>
    <t>ฝาผนังร้าว,ฝ้าเพดานหล่น</t>
  </si>
  <si>
    <t>ตึกร้าว,ปล่องไฟพัง,ต้องหยุดขับรถ</t>
  </si>
  <si>
    <t>บ้านพังท่อแก็ส,ท่อน้ำขาด</t>
  </si>
  <si>
    <t>แผ่นดินแยก,รางเหล็กรถไฟคดโค้ง</t>
  </si>
  <si>
    <t>ตึกถล่ม,สะพานขาด,แผ่นดินถล่ม</t>
  </si>
  <si>
    <t>มหาวิบัติ,พื้นดินเป็นคลื่น</t>
  </si>
  <si>
    <t>ส่วนที่เกิดขึ้นกับต่างประเทศ</t>
  </si>
  <si>
    <t>                             1.0 - 3.0                 I </t>
  </si>
  <si>
    <t>                             3.0 - 3.9             II - III </t>
  </si>
  <si>
    <t>                             4.0 - 4.9             IV - V </t>
  </si>
  <si>
    <t>                             5.0 - 5.9            VI - VII </t>
  </si>
  <si>
    <t>                             6.0 - 6.9            VII - IX </t>
  </si>
  <si>
    <t>                               7.0                  + VIII หรือมากกว่านั้น </t>
  </si>
  <si>
    <t>มาตราริกเตอร์ (อังกฤษ: Richter magnitude scale) เป็นมาตรที่ใช้กำหนดขนาดความรุนแรงของแผ่นดินไหว เสนอขึ้นเมื่อ ค.ศ. 1935 โดยนักวิทยาแผ่นดินไหวสองคน คือ เบโน กูเทนเบิร์ก (Beno Gutenbrg) และ ชาลส์ ฟรานซิส ริกเตอร์ (Charles Francis Richter)</t>
  </si>
  <si>
    <t>เดิมนั้นมีการกำหนดมาตรานี้เพื่อใช้วัดขนาดของแผ่นดินไหวในท้องถิ่นทางใต้ของแคลิฟอร์เนียในสหรัฐอเมริกา ที่บันทึกได้ด้วยอุปกรณ์ที่เรียกว่า เครื่องวัดความไหวสะเทือน (seismograph) แผ่นดินไหวที่มีขนาดน้อยที่สุดในเวลานั้นถือเป็นค่าใกล้เคียงศูนย์ มาตราดังกล่าวแบ่งเป็นระดับ โดย ทุกๆ 1 ริกเตอร์ที่เพิ่มขึ้น แสดงว่าแผ่นดินไหวแรงขึ้น 10 เท่า</t>
  </si>
  <si>
    <t>มาตราริกเตอร์ไม่มีขีดจำกัดว่ามีค่าสูงสุดเท่าใด แต่โดยทั่วไปกำหนดไว้ในช่วง 0 - 9</t>
  </si>
  <si>
    <t>ภายหลังเมื่อเครื่องวัดความไหวสะเทือนมีความละเอียดมากขึ้น สามารถวัดขนาดของแผ่นดินไหวได้ละเอียด ทั้งในระดับที่ต่ำกว่า 0 (สำหรับค่าที่ได้น้อยกว่า 0 ถือเป็นค่าติดลบ) และที่สูงกว่า 9</t>
  </si>
  <si>
    <t>ตารางมาตราริกเตอร์ตัวเลขริกเตอร์ จัดอยู่ในระดับ ผลกระทบ อัตราการเกิดทั่วโลก </t>
  </si>
  <si>
    <t>1.9 ลงไป ไม่รู้สึก (Micro) ไม่มี 8,000 ครั้ง/วัน </t>
  </si>
  <si>
    <t>2.0-2.9 เบามาก (Minor) คนทั่วไปมักไม่รู้สึก แต่ก็สามารถรู้สึกได้บ้าง และตรวจจับได้ง่าย 1,000 ครั้ง/วัน </t>
  </si>
  <si>
    <t>3.0-3.9 เบามาก (Minor) คนส่วนใหญ่รู้สึกได้ และบางครั้งสามารถสร้างความเสียหายได้บ้าง 49,000 ครั้ง/ปี </t>
  </si>
  <si>
    <t>4.0-4.9 เบา (Light) ข้าวของในบ้านสั่นไหวชัดเจน สามารถสร้างความเสียหายได้ปานกลาง 6,200 ครั้ง/ปี </t>
  </si>
  <si>
    <t>5.0-5.9 ปานกลาง (Moderate) สร้างความเสียหายยับเยินได้กับสิ่งก่อสร้างที่ไม่มั่นคง แต่กับสิ่งก่อสร้างที่มั่นคงนั้นไม่มีปัญหา 800 ครั้ง/ปี </t>
  </si>
  <si>
    <t>6.0-6.9 แรง (Strong) สร้างความเสียหายที่ค่อนข้างรุนแรงได้ในรัศมีประมาณ 80 กิโลเมตร 120 ครั้ง/ปี </t>
  </si>
  <si>
    <t>7.0-7.9 รุนแรง (Major) สามารถสร้างความเสียหายรุนแรงในบริเวณกว้างกว่า 18 ครั้ง/ปี </t>
  </si>
  <si>
    <t>8.0-8.9 รุนแรงมาก (Great) สร้างความเสียหายรุนแรงได้ในรัศมีเป็นร้อยกิโลเมตร 1 ครั้ง/ปี </t>
  </si>
  <si>
    <t>9.0-9.9 รุนแรงมาก (Great) 'ล้างผลาญ' ทุกสิ่งทุกอย่างในรัศมีเป็นพันกิโลเมตร 1 ครั้ง/20 ปี </t>
  </si>
  <si>
    <t>10.0 ขึ้นไป ทำลายล้าง (Epic) ไม่เคยเกิด จึงไม่มีบันทึกความเสียหายไว้ 0 </t>
  </si>
  <si>
    <t>มาตราเมร์กัลลีจากวิกิพีเดีย สารานุกรมเสรี </t>
  </si>
  <si>
    <t>มาตราเมร์กัลลี (อังกฤษ: Mercalli scale) เป็นมาตราสำหรับใช้กำหนดขั้นความรุนแรงของแผ่นดินไหว คิดค้นโดยจูเซปเป เมร์กัลลี (Giuseppe Mercalli) ผู้เชี่ยวชาญแผ่นดินไหวชาวอิตาลี เมื่อ พ.ศ. 2445 โดยแบ่งไว้ 10 อันดับ ต่อมาในปี พ.ศ. 2474 แฮร์รี โอ. วูด และแฟรงก์ นิวแมนน์ นักวิทยาแผ่นดินไหวชาวอเมริกันได้นำมาตราเมร์กัลลีมาปรับปรุงทำให้มาตรานี้เพิ่มเป็น 12 อันดับ เรียกว่า Modified Mercalli Intensity Scale อักษรย่อ MM ปัจจุบันมาตราเมร์กัลลีไม่ค่อยเป็นที่นิยม</t>
  </si>
  <si>
    <t>หรือประมาณ1- 3ริคเตอร์</t>
  </si>
  <si>
    <t> ระดับความรุนแรงตามมาตราเมร์กัลลีมาตราเมร์กัลลีบ่งบอกว่าบริเวณที่เกิดแผ่นดินไหวได้รับผลกระทบและเกิดความเสียหายมากน้อยเพียงใด โดยจัดระดับความรุนแรงเป็น 12 ระดับ ด้วยเลขโรมันตั้งแต่ I ถึง XII ดังนี้</t>
  </si>
  <si>
    <t>I. ตรวจวัดได้โดยเครื่องมือวัดความสั่นสะเทือนเท่านั้น ไม่สามารถรู้สึกได้นอกจากจะอยู่ในกรณีแวดล้อมที่เหมาะสมโดยเฉพาะบริเวณที่อ่อนไหวต่อความสั่นสะเทือน บางครั้งอาจสังเกตได้จากอาการผิดปกติของนกและสัตว์ต่าง ๆ บางครั้งรู้สึกมึนงงหรือคลื่นเหียนอาเจียน บางครั้งต้นไม้ สิ่งก่อสร้าง ของเหลวและน้ำอาจแกว่งไกว ประตูอาจแกว่งช้ามาก </t>
  </si>
  <si>
    <t>II. รู้สึกได้เป็นบางคน โดยเฉพาะที่อยู่บนอาคารสูง ๆ หรือเป็นผู้ที่มีประสาทไว เหตุการณ์ต่าง ๆ จะคล้ายกับอันดับ I แต่สังเกตได้ง่ายกว่า บางครั้งวัตถุห้อยแขวนอาจแกว่งไกว </t>
  </si>
  <si>
    <t>III. รู้สึกได้หลาย ๆ คนสำหรับผู้ที่อยู่ในตัวอาคาร การสั่นไหวโดยปกติจะสิ้นสุดโดยเร็ว จนบางครั้งอาจไม่รู้สึกว่าเป็นแผ่นดินไหว การสั่นไหวคล้ายกับมีรถบรรทุกหนักแล่นผ่านในระยะไกล ๆ วัตถุห้อยแขวนแกว่งไกวเล็กน้อยและมากขึ้นในชั้นบนของอาคารสูง ๆ รถยนต์ที่จอดอยู่อาจสั่นไหวบ้างเล็กน้อย </t>
  </si>
  <si>
    <t>IV. ผู้ที่อยู่ในอาคารส่วนใหญ่จะรู้สึก ส่วนผู้ที่อยู่นอกอาคารจะรู้สึกได้น้อยคน ผู้ที่หลับจะตกใจตื่น (สำหรับผู้ที่ตื่นง่าย) จะไม่มีอาการตกใจกลัวถ้ามีประสบการณ์มาก่อน การสั่นไหวเหมือนกับมีรถบรรทุกหนัก ๆ แล่นผ่าน ความรู้สึกคล้ายกับมีวัตถุหนักชนตัวอาคารหรือตกภายในอาคาร มีเสียงกระทบของจาน หน้าต่าง ประตู เครื่องแก้ว และเครื่องถ้วยชาม เสียงลั่นของกำแพง วัตถุห้อยแขวนแกว่งไกว มีการเคลื่อนไหวหรือกระฉอกเล็กน้อยของของเหลวที่อยู่ในภาชนะที่ไม่มีฝาปิด รถยนต์ที่จอดอยู่สั่นไหวสังเกตได้ชัดเจน </t>
  </si>
  <si>
    <t>V. ผู้ที่อยู่ในอาคารจะรู้สึกกันได้เกือบทุกคน ส่วนผู้ที่อยู่นอกอาคารก็รู้สึกได้เป็นส่วนใหญ่ ผู้ที่หลับจะตกใจตื่น มีบางคนตกใจ บางคนตื่นเต้นเล็กน้อย บางคนวิ่งออกไปนอกบ้าน อาคารสั่นไหว ถ้วยชามเครื่องแก้วหล่นแตก หน้าต่างร้าวในบางกรณีแต่ไม่เสมอไป แจกัน วัตถุขนาดเล็กที่ไม่มั่นคงล้มคว่ำหรือหล่น วัตถุห้อยแขวนและบานประตูแกว่งไกว รูปภาพแกว่งกระทบผนังหรือเคลื่อนออกจากตำแหน่งเดิม ประตูเปิดปิดเอง ลูกตุ้มนาฬิกาหยุดแกว่ง หรือแกว่งเร็วขึ้น ช้าลง วัตถุชิ้นเล็ก ๆ เครื่องประดับบ้านเคลื่อนจากที่เดิม ของเหลวที่เต็มในภาชนะที่ไม่มีฝากระฉอก ต้นไม้ พุ่มไม้ สั่นไหวเล็กน้อย </t>
  </si>
  <si>
    <t>VI. รู้สึกได้ทุกคนทั้งในและนอกอาคาร ตกใจกันมาก ตื่นเต้นโดยทั่วไป บางคนตื่นตกใจและหลายคนวิ่งออกนอกอาคาร ผู้ที่หลับจะตกใจตื่น ผู้คนรู้สึกโคลงเคลง ต้นไม้ พุ่มไม้ สั่นไหวเล็กน้อยถึงปานกลาง ของเหลวมีอาการสั่นไหวรุนแรง ระฆังขนาดเล็กดัง มีความเสียหายเล็กน้อยในอาคารที่ก่อสร้างไว้ไม่ดี ปูนปลาสเตอร์หล่นเล็กน้อย หรือเกิดรอยร้าว โดยเฉพาะ ปล่องไฟ ถ้วยชาม เครื่องแก้วแตก และหน้าต่างอาจแตกด้วย ของใช้กระจุกกระจิก หนังสือ รูปภาพหล่น เครื่องประดับบ้านหลายอย่างล้มคว่ำ ของหนัก ๆ เคลื่อนจากที่เดิม </t>
  </si>
  <si>
    <t>VII. ตกใจกันทุกคนและทั้งหมดวิ่งออกนอกอาคาร หลายคนมีความรู้สึกว่ายืนไม่อยู่ ผู้ที่กำลังขับรถสังเกตได้ว่ามีแผ่นดินไหว ต้นไม้ พุ่มไม้ สั่นไหวปานกลางถึงแรง น้ำในบ่อ ทะเลสาบเป็นคลื่น และน้ำขุ่น เนื่องจากโคลนถูกเขย่า แม่น้ำที่เป็นทราย กรวดพัง ระฆังในโบสถ์ใบใหญ่ดัง วัตถุห้อยแขวนแกว่งไกว อาคารที่ออกแบบและก่อสร้างไว้อย่างดีไม่มีความเสียหาย จะเสียหายเล็กน้อยถึงปานกลางในอาคารทั่วไปที่ก่อสร้างไว้ดี และเสียหายค่อนข้างมากสำหรับอาคารที่ออกแบบและก่อสร้างไว้ไม่ดี บ้านที่สร้างด้วยอิฐ กำแพงเก่า ๆ และสิ่งก่อสร้างที่มียอดแหลม ปล่องไฟและกำแพงร้าวจนถึงแตก ปูนปลาสเตอร์หล่นมาก ซีเมนต์ผสมปูนขาวที่ใช้พอกผนังหล่น หน้าต่างเครื่องประดับบ้านแตกหรือเสียหายมาก สิ่งก่อสร้างที่ทำด้วยอิฐ หรือกระเบื้องเสียหาย บางครั้งหลังคาก็เสียหายด้วย ลวดลายที่ทำเป็นกระบังออกมาของหอหรือตึกสูง ๆ หล่น อิฐและหินเคลื่อนที่จากที่เดิม เครื่องประดับบ้านหนักล้มคว่ำและเสียหาย คู คลอง คอนกรีตสำหรับการชลประทานเสียหาย </t>
  </si>
  <si>
    <t>VIII. ผู้คนทั่วไปตกใจ ผู้ที่กำลังขับขี่รถยนต์จะรู้สึกว่าขับขี่ไม่สะดวก ต้นไม้สั่นไหวอย่างแรง กิ่งก้านและลำต้นหักโค่น โดยเฉพาะต้นปาล์ม ทรายและโคลนพุ่งขึ้นมาปริมาณเล็กน้อย มีการเปลื่ยนแปลงอย่างชั่วคราวหรือถาวรของน้ำพุ บ่อน้ำที่แห้งอาจมีน้ำไหล มีการเปลี่ยนแปลงของระดับน้ำพุและน้ำในบ่อ โครงสร้างที่เป็นอิฐเสียหายเล็กน้อย โดยเฉพาะที่ต้านแรงจากแผ่นดินไหวได้ อาคารธรรมดาบางส่วนจะพังลง บางครั้งบ้านไม้เสียหาย แผ่นกรุฝาผนังหลุดออกจากกรอบ เสาที่ผุผังแตกออก กำแพงพัง กำแพงหินแตกร้าวมาก น้ำจากใต้ดินซึมขึ้นมา ปล่องไฟ เสา อนุสาวรีย์ หอสูงเกิดการบิดงอ ล้มลง เครื่องประดับบ้านหนัก ๆ เคลื่อนที่หรือล้มคว่ำ </t>
  </si>
  <si>
    <t>IX. พื้นดินแยก เกิดความเสียหายกับโครงสร้างที่เป็นอิฐ โครงบ้านไม้ถูกเหวี่ยงไม่ตั้งฉาก โดยเฉพาะแบที่สามารถต้านทานแรงแผ่นดินไหว อาคารต่าง ๆ ที่เป็นอิฐเสียหายมาก บางอาคารพังทลายเป็นส่วนใหญ่ หรือโครงตึกเลื่อนออกไปจากฐานราก ทำความเสียหายอย่างหนักต่ออ่างเก็บน้ำ ท่อใต้พื้นดินบางครั้งแตก หัก </t>
  </si>
  <si>
    <t>X. พื้นดินแยกโดยเฉพาะบริเวณที่ร่วนซุยและเปียก อาจมีรอยแยกกว้างหลายนิ้ว รอยแยกนี้อาจกว้างถึงหนึ่งหลาในแนวขนานกับชายฝั่งแม่น้ำและลำคลอง ดินพังบริเวณแม่น้ำและฝั่งทะเลที่ลาดชัน ทรายและโคลนเคลื่อนเป็นแนวขวางบนหาดและที่ราบลุ่ม ระดับน้ำในบ่อต่าง ๆ เปลี่ยนแปลง เกิดคลื่นซัดชายฝั่งแม่น้ำ ลำคลอง ทะเลสาบ ฯลฯ ทำความเสียหายอย่างหนักแก่เขื่อน กำแพงกั้นน้ำ โครงไม้ที่ก่อสร้างอย่างดีและสะพาน กำแพงอิฐอย่างดีเกิดรอยร้าว ทำลายอาคารโครงสร้างและฐานราก รางรถไฟโค้งงอเล็กน้อย ท่อใต้ดินฉีกขาด บาทวิถีซีเมนต์และผิวถนนลาดยางแตกแยกและเป็นคลื่น </t>
  </si>
  <si>
    <t>XI. พื้นดินสั่นสะเทือนมากเป็นบริเวณกว้าง รอยแตกกว้างใหญ่ แผ่นดินทรุดและเลื่อน พื้นดินเปียกชื้น มีน้ำพุ่งออกมาเป็นจำนวนมากพร้อมทรายและโคลน เกิดคลื่นในทะเลขนาดใหญ่ โครงสร้างที่เป็นไม้เสียหายมาก โดยเฉพาะบริเวณใกล้จุดศูนย์กลาง เขื่อน กำแพงกั้นน้ำ เสียหายค่อนข้างมาก สิ่งก่อสร้างจำนวนเล็กน้อยเหลืออยู่ได้ ทำลายสะพานที่ก่อสร้างอย่างดี โดยตอม่อ เสาสะพานแตก แต่สะพานไม้จะเสียหายน้อยกว่า รางรถไฟโค้ง บิดงอมาก </t>
  </si>
  <si>
    <t>XII. เสียหายทั้งหมด งานก่อสร้างเสียหายมากหรือพังทลาย พื้นดินพังทลาย พื้นดินสั่นสะเทือนอย่างรุนแรง และแตกแยก หินหล่นพังทลาย ตลิ่งหรือชายแม่น้ำทรุดและพัง มีการบิดฉีกขาดของหินขนาดใหญ่ มีรอยเลื่อนในหินที่มั่นคง โดยมีการแทนที่ในแนวราบและแนวดิ่ง ท่อน้ำบนดิน ใต้ดินเสียหาย ทะเลสาบถูกปิดกั้น เกิดน้ำตก แม่น้ำเปลี่ยนทิศทาง พื้นดินเป็นคลื่น วัตถุถูกเหวี่ยงขึ้นไปในอากาศ</t>
  </si>
  <si>
    <t>ประมาณ 4-4.9ริคเตอร์</t>
  </si>
  <si>
    <t>ประมาณ  6-มากกว่านั้น</t>
  </si>
  <si>
    <t>ประมาณ  5-5.9 ริคเตอร์</t>
  </si>
  <si>
    <t>ความ รุนแรงตามมาตราริกเตอร์ เทียบกับ มาตราเมร์กัลลี </t>
  </si>
  <si>
    <t>สเปคตรัมผลตอบสนองสำหรับการออกแบบ (Sa)</t>
  </si>
  <si>
    <t>ได้แก่ เพชรบุรี,ราชบุรี,นครปฐม</t>
  </si>
  <si>
    <t>ได้แก่ นครปฐม,สมุทสงคราม,สมุทรสาคร</t>
  </si>
  <si>
    <t>ได้แก่ อยุธยา</t>
  </si>
  <si>
    <t>ได้แก่ กรุงเทพฯ,สมุทรปราการ</t>
  </si>
  <si>
    <t>แรงแผ่นดินไหวกระทำด้านข้าง</t>
  </si>
  <si>
    <t>ได้แก่ นนทบุรี,ปทุมธานี (อ.เมือง ,อ.ลาดหลุมแก้ว)</t>
  </si>
  <si>
    <t>ได้แก่ ฉะเชิงเทรา,นครนายก,ปทุมธานี,ปราจีนบุรี</t>
  </si>
  <si>
    <t>ได้แก่  ชลบุรี</t>
  </si>
  <si>
    <t>ตารางการออกแบบแรงแผ่นดินไหวแบบแรงเทียบเท่า ตาม มาตรฐาน มยพ.1302  ตามกฎกระทรวง พศ. 2550</t>
  </si>
  <si>
    <t>Sa(0.1s)</t>
  </si>
  <si>
    <t>Sa(0.2s)</t>
  </si>
  <si>
    <t>Sa(1s)</t>
  </si>
  <si>
    <t>Sa(2s)</t>
  </si>
  <si>
    <t>Sa(3s)</t>
  </si>
  <si>
    <t>Sa(4s)</t>
  </si>
  <si>
    <t>Sa(5s)</t>
  </si>
  <si>
    <t>Sa(6s)</t>
  </si>
  <si>
    <t>ค่าแผ่นดินไหวมากที่สุดจะระบุเป็นค่าความเร่งตอบสนองเชิงสเปกตรัมที่คาบสั้น Ss (คาบการสั่น 2 วินาที) S1ที่ 1 วินาที</t>
  </si>
  <si>
    <t>Ss</t>
  </si>
  <si>
    <t>Uint</t>
  </si>
  <si>
    <t>g.</t>
  </si>
  <si>
    <t>S1</t>
  </si>
  <si>
    <t>กระบี่</t>
  </si>
  <si>
    <t>MAX</t>
  </si>
  <si>
    <t>กาญจนบุรี</t>
  </si>
  <si>
    <t>กิ่ง อ.เหนือคลอง</t>
  </si>
  <si>
    <t>เกาะลันตา</t>
  </si>
  <si>
    <t>เขาพนม</t>
  </si>
  <si>
    <t>คลองท่อม</t>
  </si>
  <si>
    <t>ปลายพระยา</t>
  </si>
  <si>
    <t>เมืองกระบี่</t>
  </si>
  <si>
    <t>ลำทับ</t>
  </si>
  <si>
    <t>อ่าวลึก</t>
  </si>
  <si>
    <t>อำเภอ</t>
  </si>
  <si>
    <t>ด่านมะขามเตี้ย</t>
  </si>
  <si>
    <t>ทองผาภูมิ</t>
  </si>
  <si>
    <t>ท่าม่วง</t>
  </si>
  <si>
    <t>ท่ามะกา</t>
  </si>
  <si>
    <t>ไทรโยค</t>
  </si>
  <si>
    <t>บ่อพลอย</t>
  </si>
  <si>
    <t>พนมทวน</t>
  </si>
  <si>
    <t>เมื่องกาญฯ</t>
  </si>
  <si>
    <t>เลขาขวัญ</t>
  </si>
  <si>
    <t>ศรีสัวสดิ์</t>
  </si>
  <si>
    <t>สังขละบุรี</t>
  </si>
  <si>
    <t>หนองปรือ</t>
  </si>
  <si>
    <t>ห้วยกระเจา</t>
  </si>
  <si>
    <t>มาตรฐาน มยพ.1320 ได้กำหนด ค่า Ss และ S1 แถบประเทศไทย  ตามตาราง</t>
  </si>
  <si>
    <t>การปรับแก้ตามสภาพชั้นดิน  Fa,Fv</t>
  </si>
  <si>
    <t>ประเภทดิน</t>
  </si>
  <si>
    <t>A (หินแข็ง)</t>
  </si>
  <si>
    <t>B (หิน)</t>
  </si>
  <si>
    <t>C (ดินแข็ง)</t>
  </si>
  <si>
    <t xml:space="preserve"> D(ดินปกติ)</t>
  </si>
  <si>
    <t>E(ดินอ่อน)</t>
  </si>
  <si>
    <t>F (ดินพิเศษ)</t>
  </si>
  <si>
    <r>
      <t xml:space="preserve">Ss </t>
    </r>
    <r>
      <rPr>
        <sz val="16"/>
        <color theme="1"/>
        <rFont val="Symbol"/>
        <family val="1"/>
        <charset val="2"/>
      </rPr>
      <t>£</t>
    </r>
    <r>
      <rPr>
        <sz val="16"/>
        <color theme="1"/>
        <rFont val="Angsana New"/>
        <family val="1"/>
      </rPr>
      <t>0.25</t>
    </r>
  </si>
  <si>
    <t>Ss  = 0.5</t>
  </si>
  <si>
    <t>Ss  = 0.75</t>
  </si>
  <si>
    <t>Ss  = 1.0</t>
  </si>
  <si>
    <r>
      <t xml:space="preserve">Ss  </t>
    </r>
    <r>
      <rPr>
        <sz val="16"/>
        <color theme="1"/>
        <rFont val="Symbol"/>
        <family val="1"/>
        <charset val="2"/>
      </rPr>
      <t>³</t>
    </r>
    <r>
      <rPr>
        <sz val="16"/>
        <color theme="1"/>
        <rFont val="AngsanaUPC"/>
        <family val="2"/>
        <charset val="222"/>
      </rPr>
      <t>1.25</t>
    </r>
  </si>
  <si>
    <t>ความเร่งตอบสนองเชิงสเปกตรัมของแผ่นดินไหวที่คาบ 0.2 วินาที (g)</t>
  </si>
  <si>
    <t>Fa = สัมประสิทธิ์ชั้นดิน ณ ที่ตั้งาคาร สำหรับคาบการสั่น 0.2 วินาที</t>
  </si>
  <si>
    <t>Fa =</t>
  </si>
  <si>
    <t>ต้องวิเคราะห์การตอบสนองของดินเป็นกรณีๆไป</t>
  </si>
  <si>
    <t>กรณีไม่มีข้อมูลดินใช้ ค่าดินแบบ D</t>
  </si>
  <si>
    <t>ได้แก่ อื่นๆ ที่ไม่ได้กล่าวถึง ใน โซน 1-7</t>
  </si>
  <si>
    <t>FV = สัมประสิทธิ์ชั้นดิน ณ ที่ตั้งาคาร สำหรับคาบการสั่น 1 วินาที</t>
  </si>
  <si>
    <r>
      <t xml:space="preserve">Ss </t>
    </r>
    <r>
      <rPr>
        <sz val="16"/>
        <color theme="1"/>
        <rFont val="Symbol"/>
        <family val="1"/>
        <charset val="2"/>
      </rPr>
      <t>£</t>
    </r>
    <r>
      <rPr>
        <sz val="16"/>
        <color theme="1"/>
        <rFont val="Angsana New"/>
        <family val="1"/>
      </rPr>
      <t>0.10</t>
    </r>
  </si>
  <si>
    <t>Ss  = 0.2</t>
  </si>
  <si>
    <t>Ss  = 0.3</t>
  </si>
  <si>
    <t>Ss  = 0.4</t>
  </si>
  <si>
    <r>
      <t xml:space="preserve">Ss  </t>
    </r>
    <r>
      <rPr>
        <sz val="16"/>
        <color theme="1"/>
        <rFont val="Symbol"/>
        <family val="1"/>
        <charset val="2"/>
      </rPr>
      <t xml:space="preserve">³ </t>
    </r>
    <r>
      <rPr>
        <sz val="16"/>
        <color theme="1"/>
        <rFont val="Angsana New"/>
        <family val="1"/>
      </rPr>
      <t>0.5</t>
    </r>
  </si>
  <si>
    <t>ตัวประกอบและความสำคัญของประเภทของอาคาร I</t>
  </si>
  <si>
    <t>อาคารชั่วคราว,อาคารเก็บของเล็กๆ(ที่ไม่มีผู้พักอาศัย)</t>
  </si>
  <si>
    <t>อาคารที่เป็นที่ชุมนุม มากกว่า 300 คน,โรงเรียน,หอพัก,คอนโดมิเนียม</t>
  </si>
  <si>
    <t>ตารางการออกแบบแรงแผ่นดินไหวแบบแรงเทียบเท่า ตาม มาตรฐาน (Uniform Building Code)1985หรือ มยผ. 1301-50  ตามกฎกระทรวง พศ. 2550</t>
  </si>
  <si>
    <t>อาคารและโครงสร้างอื่นๆที่มีความสำคัญไม่มากนัก อาทิ บ้านพักอาศัย</t>
  </si>
  <si>
    <t>อาคารสาธารณะ อาทิ หน่วยงานราชการ,โรงพยาบาล,สถานีตำรวจ,หอประชุม</t>
  </si>
  <si>
    <t>ประเภทความสำคัญ</t>
  </si>
  <si>
    <t>ตัวประกอบความสำคัญ</t>
  </si>
  <si>
    <t>ประเภทดิน D</t>
  </si>
  <si>
    <t>Sds = 2/3Fa.Ss</t>
  </si>
  <si>
    <t>Sd1 = 2/3Fv.S1</t>
  </si>
  <si>
    <t>ระบบโครงสร้าง</t>
  </si>
  <si>
    <t>R</t>
  </si>
  <si>
    <t>Cd</t>
  </si>
  <si>
    <r>
      <rPr>
        <sz val="16"/>
        <color theme="1"/>
        <rFont val="Symbol"/>
        <family val="1"/>
        <charset val="2"/>
      </rPr>
      <t>W</t>
    </r>
    <r>
      <rPr>
        <sz val="14"/>
        <color theme="1"/>
        <rFont val="AngsanaUPC"/>
        <family val="1"/>
      </rPr>
      <t>0</t>
    </r>
  </si>
  <si>
    <t>คาบการสั่นพื้นฐาน  T = 0.02H</t>
  </si>
  <si>
    <t>วินาที</t>
  </si>
  <si>
    <t xml:space="preserve">วินาที &gt; </t>
  </si>
  <si>
    <t>Ts = Sd1/Sds</t>
  </si>
  <si>
    <t>ค</t>
  </si>
  <si>
    <t>ได้แก่ ภาคเหนือ,ภาคกลาง,ภาคใต้ รายการนี้ไม่สามารถคำนวณได้</t>
  </si>
  <si>
    <t>มาตรฐาน มยพ.1320 ได้กำหนด ค่า Ss และ S1 แถบประเทศไทย  ตามตาราง ซึ่งจะแยกย่อยตามอำเภอ</t>
  </si>
  <si>
    <t xml:space="preserve">วินาที </t>
  </si>
  <si>
    <t>พื้นที่ในแอ่งกรุงเทพใช้ค่า SDS = SD1= Sa</t>
  </si>
  <si>
    <t>ค่า SDS</t>
  </si>
  <si>
    <t>ประเภทการออกแบบต้านทานแผ่นดินไหว</t>
  </si>
  <si>
    <t>I หรือ II</t>
  </si>
  <si>
    <t>III</t>
  </si>
  <si>
    <t>IV</t>
  </si>
  <si>
    <t>SDS&lt;0.167</t>
  </si>
  <si>
    <r>
      <t>0.167</t>
    </r>
    <r>
      <rPr>
        <sz val="16"/>
        <color theme="1"/>
        <rFont val="Symbol"/>
        <family val="1"/>
        <charset val="2"/>
      </rPr>
      <t xml:space="preserve">£ </t>
    </r>
    <r>
      <rPr>
        <sz val="16"/>
        <color theme="1"/>
        <rFont val="Angsana New"/>
        <family val="1"/>
      </rPr>
      <t>SDS &lt; 0.33</t>
    </r>
  </si>
  <si>
    <r>
      <t>0.33</t>
    </r>
    <r>
      <rPr>
        <sz val="16"/>
        <color theme="1"/>
        <rFont val="Symbol"/>
        <family val="1"/>
        <charset val="2"/>
      </rPr>
      <t xml:space="preserve">£ </t>
    </r>
    <r>
      <rPr>
        <sz val="16"/>
        <color theme="1"/>
        <rFont val="Angsana New"/>
        <family val="1"/>
      </rPr>
      <t>SDS &lt; 0.50</t>
    </r>
  </si>
  <si>
    <r>
      <t>0.50</t>
    </r>
    <r>
      <rPr>
        <sz val="16"/>
        <color theme="1"/>
        <rFont val="Symbol"/>
        <family val="1"/>
        <charset val="2"/>
      </rPr>
      <t xml:space="preserve">£ </t>
    </r>
    <r>
      <rPr>
        <sz val="16"/>
        <color theme="1"/>
        <rFont val="Angsana New"/>
        <family val="1"/>
      </rPr>
      <t xml:space="preserve">SDS </t>
    </r>
  </si>
  <si>
    <t>ก(ไม่ออกแบบ)</t>
  </si>
  <si>
    <t>ค่า SD1</t>
  </si>
  <si>
    <t>ข</t>
  </si>
  <si>
    <t>ง</t>
  </si>
  <si>
    <t>SD1&lt;0.067</t>
  </si>
  <si>
    <r>
      <t>0.20</t>
    </r>
    <r>
      <rPr>
        <sz val="16"/>
        <color theme="1"/>
        <rFont val="Symbol"/>
        <family val="1"/>
        <charset val="2"/>
      </rPr>
      <t xml:space="preserve">£ </t>
    </r>
    <r>
      <rPr>
        <sz val="16"/>
        <color theme="1"/>
        <rFont val="Angsana New"/>
        <family val="1"/>
      </rPr>
      <t>SD1</t>
    </r>
  </si>
  <si>
    <t>SDS =</t>
  </si>
  <si>
    <t>หรือ =IF(OR(A1=1,A2=1,A3=1),"Some is One","No One at all")</t>
  </si>
  <si>
    <t>SD1 =</t>
  </si>
  <si>
    <t>ระดับความรุนแรงแผ่นดินไหวตามมาตราเมอร์คัลลี</t>
  </si>
  <si>
    <t>CS =</t>
  </si>
  <si>
    <t>Sa(I/R)</t>
  </si>
  <si>
    <t>ฐาน</t>
  </si>
  <si>
    <t>Wx(T.)</t>
  </si>
  <si>
    <t>Wxhx(T./m)</t>
  </si>
  <si>
    <t>T-m</t>
  </si>
  <si>
    <t>แรงด้านข้าง</t>
  </si>
  <si>
    <t>โมเมนต์ต้านทาน</t>
  </si>
  <si>
    <t>ค่า โมเมนต์อินเนอร์เชียประสิทธิ์ผล</t>
  </si>
  <si>
    <t>เสา IC = 0.7Ig</t>
  </si>
  <si>
    <t>คาน Ib = 0.35Ig</t>
  </si>
  <si>
    <t>ชนิดโครงสร้าง</t>
  </si>
  <si>
    <t>ระยะห่างเสาแกน X</t>
  </si>
  <si>
    <t>ระยะห่างเสาแกน Y</t>
  </si>
  <si>
    <t>ชิ้นส่วนคานแกน Y</t>
  </si>
  <si>
    <t>ชิ้นส่วนคานแกน X</t>
  </si>
  <si>
    <t>ค่า K ของผลรวมเสาและคาน</t>
  </si>
  <si>
    <t>แกน N-S</t>
  </si>
  <si>
    <t>แกน E-W</t>
  </si>
  <si>
    <t>แรงเฉือนที่ฐานV = CS.W</t>
  </si>
  <si>
    <t>Fx(T.)</t>
  </si>
  <si>
    <t>Vx(T.)</t>
  </si>
  <si>
    <t>Mx(T./m)</t>
  </si>
  <si>
    <t>ตามแนวแกน Y-Y หรือ แกน N-S</t>
  </si>
  <si>
    <t>ค่าการเคลื่อนที่ในแต่ละชั้นสำหรับแรงกระทำในทิศทาง N-S (หรือ แกน Y-Y)</t>
  </si>
  <si>
    <r>
      <rPr>
        <sz val="16"/>
        <color theme="1"/>
        <rFont val="Symbol"/>
        <family val="1"/>
        <charset val="2"/>
      </rPr>
      <t>d</t>
    </r>
    <r>
      <rPr>
        <sz val="18"/>
        <color theme="1"/>
        <rFont val="AngsanaUPC"/>
        <family val="1"/>
      </rPr>
      <t>xe (cm)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</si>
  <si>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Swis721 Lt BT"/>
        <family val="2"/>
      </rPr>
      <t>x</t>
    </r>
    <r>
      <rPr>
        <sz val="18"/>
        <color theme="1"/>
        <rFont val="AngsanaUPC"/>
        <family val="1"/>
      </rPr>
      <t xml:space="preserve"> (cm)</t>
    </r>
  </si>
  <si>
    <r>
      <rPr>
        <sz val="16"/>
        <color theme="1"/>
        <rFont val="Symbol"/>
        <family val="1"/>
        <charset val="2"/>
      </rPr>
      <t>Sd</t>
    </r>
    <r>
      <rPr>
        <sz val="18"/>
        <color theme="1"/>
        <rFont val="AngsanaUPC"/>
        <family val="1"/>
      </rPr>
      <t>xe (cm)</t>
    </r>
  </si>
  <si>
    <r>
      <t xml:space="preserve"> </t>
    </r>
    <r>
      <rPr>
        <b/>
        <sz val="16"/>
        <color theme="1"/>
        <rFont val="Symbol"/>
        <family val="1"/>
        <charset val="2"/>
      </rPr>
      <t>D</t>
    </r>
    <r>
      <rPr>
        <b/>
        <sz val="16"/>
        <color theme="1"/>
        <rFont val="AngsanaUPC"/>
        <family val="2"/>
        <charset val="222"/>
      </rPr>
      <t>X &lt;0.01hx</t>
    </r>
  </si>
  <si>
    <t xml:space="preserve">ก = น้อยไม่ต้องออกแบบ     ข = น้อยถึงปานกลาง       ค = มาก                  ง= รุนแรง  </t>
  </si>
  <si>
    <t>ค่าการเคลื่อนที่ในแต่ละชั้นสำหรับแรงกระทำในทิศทาง E-W (หรือ แกน X-X)</t>
  </si>
  <si>
    <t xml:space="preserve"> การคำนวณค่าสัมประสัทธิ์เสถียรภาพ (Stability Coefficient)</t>
  </si>
  <si>
    <t>VX(tons)</t>
  </si>
  <si>
    <t>Wx(Tons)</t>
  </si>
  <si>
    <t>Sa</t>
  </si>
  <si>
    <t>Design Programs By : Aditap Israngku Na AyutthaYa (15/9/2556)</t>
  </si>
  <si>
    <t>แรงเฉือนที่ฐาน(V)และแรงกระทำด้านข้าง(FX)และค่าสติฟเนสของโครงสร้าง(K)</t>
  </si>
  <si>
    <t>V,FX,K(IC),K(IB)</t>
  </si>
  <si>
    <t>ตารางแสดงค่าโมเมนต์</t>
  </si>
  <si>
    <t>ตารางแสดงค่าการเคลื่อนที่แกน Y-Y</t>
  </si>
  <si>
    <t>ตารางแสดงค่าการเคลื่อนที่แกน X-X</t>
  </si>
  <si>
    <t xml:space="preserve">         คือสัมประสิทธิ์ความมั่นคงซึ่งเป็นอัตราส่วนระหว่างโมเมนต์ที่เพิ่มขึ้นจากการเคลื่อนตัวทางข้างต่อโมเมนต์ที่เกิดแรงแผ่นดินไหว </t>
  </si>
  <si>
    <t>กำแพงรับแรงเฉือนแบบพิเศษ</t>
  </si>
  <si>
    <r>
      <t>กำแพงรับแรงเฉือนธรรมดา  (</t>
    </r>
    <r>
      <rPr>
        <u/>
        <sz val="16"/>
        <color theme="1"/>
        <rFont val="AngsanaUPC"/>
        <family val="1"/>
      </rPr>
      <t>ใช้กับประเภท ง ไม่ได้</t>
    </r>
    <r>
      <rPr>
        <sz val="16"/>
        <color theme="1"/>
        <rFont val="AngsanaUPC"/>
        <family val="2"/>
        <charset val="222"/>
      </rPr>
      <t>)</t>
    </r>
  </si>
  <si>
    <r>
      <t>กำแพงรับแรงเฉือนแบบสำเร็จรูป(Pre-Cast)เหนียวปานกลาง (</t>
    </r>
    <r>
      <rPr>
        <u/>
        <sz val="16"/>
        <color theme="1"/>
        <rFont val="AngsanaUPC"/>
        <family val="1"/>
      </rPr>
      <t>ใช้กับแรง ง ไม่ได้</t>
    </r>
    <r>
      <rPr>
        <sz val="16"/>
        <color theme="1"/>
        <rFont val="AngsanaUPC"/>
        <family val="2"/>
        <charset val="222"/>
      </rPr>
      <t>)</t>
    </r>
  </si>
  <si>
    <t>โครงแกงแนงเหล็กแบบเยื้องศูนย์ใช้จุดต่อรับแรงเฉือน</t>
  </si>
  <si>
    <t>โครงแกงแนงเหล็กแบบเยื้องศูนย์ใช้จุดต่อรับแรงดัด</t>
  </si>
  <si>
    <t>โครงแกงแนงเหล็กแบบตรงศูนย์รายละเอียดพิเศษ</t>
  </si>
  <si>
    <t>โครงแกงแนงเหล็กแบบตรงศูนย์ธรรมดา</t>
  </si>
  <si>
    <t>กำแพง Bearing Wall</t>
  </si>
  <si>
    <r>
      <t>กำแพงรับแรงเฉือนแบบสำเร็จรูปธรรมดา Pre-Cast (</t>
    </r>
    <r>
      <rPr>
        <u/>
        <sz val="16"/>
        <color theme="1"/>
        <rFont val="AngsanaUPC"/>
        <family val="1"/>
      </rPr>
      <t>ใช้กับ แรง ค และ ง ไม่ได้</t>
    </r>
    <r>
      <rPr>
        <sz val="16"/>
        <color theme="1"/>
        <rFont val="AngsanaUPC"/>
        <family val="2"/>
        <charset val="222"/>
      </rPr>
      <t>)</t>
    </r>
  </si>
  <si>
    <t>โครงต้านแรงดัดเหล็กที่มีความเหนียว</t>
  </si>
  <si>
    <t>โครงถักต้านแรงดัดที่มีความเหนี่ยวพิเศษ</t>
  </si>
  <si>
    <r>
      <t>โครงต้านแรงดัดเหล็กที่มีความเหนียวปานกลาง (</t>
    </r>
    <r>
      <rPr>
        <u/>
        <sz val="16"/>
        <color theme="1"/>
        <rFont val="AngsanaUPC"/>
        <family val="1"/>
      </rPr>
      <t>ใช้กับแรง ง ไม่ได้</t>
    </r>
    <r>
      <rPr>
        <sz val="16"/>
        <color theme="1"/>
        <rFont val="AngsanaUPC"/>
        <family val="2"/>
        <charset val="222"/>
      </rPr>
      <t>)</t>
    </r>
  </si>
  <si>
    <t>โครงต้านทานแรงดัดคสล.ที่มีความเหนียว</t>
  </si>
  <si>
    <t>โครงต้านทานแรงดัดเหล็กธรรมดา (ใช้กับแรง  ง ไม่ได้)</t>
  </si>
  <si>
    <t>โครงต้านทานแรงดัดคสล.ที่มีความเหนียวจำกัด (ใช้กับแรง ง ไม่ได้ )</t>
  </si>
  <si>
    <t>โครงต้านทานแรงดัดคสล.แบบธรรมดา (ใช้กับประเภท ค ง  ไม่ได้)</t>
  </si>
  <si>
    <t>ร่วมกับโครงแกงแนงแบบตรงศูนย์แบบพิเศษ</t>
  </si>
  <si>
    <t>ร่วมกับโครงแกงแนงเหล็กเยื้องศูนย์</t>
  </si>
  <si>
    <t>ร่วมกับกำแพงรับแรงเฉือนแบบที่มีการให้ตัวพิเศษ</t>
  </si>
  <si>
    <t>ร่วมกับกำแพงรับแรงเฉือนแบบธรรมดา (ใช้กับประเภท  ง  ไม่ได้)</t>
  </si>
  <si>
    <t>ชนิดของประเภทโครงสร้าง</t>
  </si>
  <si>
    <t>เลือกออกแบบประเภทต้านทานแผ่นดินไหวประเภท "ก"(น้อย  ไม่ออกแบบแรงต้านทานแผ่นดินไหว)</t>
  </si>
  <si>
    <t>เลือกออกแบบประเภทต้านทานแผ่นดินไหวประเภท "ข"(ปานกลาง)</t>
  </si>
  <si>
    <t>เลือกออกแบบประเภทต้านทานแผ่นดินไหวประเภท "ค"(รุนแรง)</t>
  </si>
  <si>
    <t>เลือกออกแบบประเภทต้านทานแผ่นดินไหวประเภท "ง"(รุนแรงมาก)</t>
  </si>
  <si>
    <t>¬</t>
  </si>
  <si>
    <t>¬¬¬¬¬¬¬¬¬¬¬</t>
  </si>
  <si>
    <t>อาคารด้านกว้าง แกน (X)</t>
  </si>
  <si>
    <t>อาคารด้านยาว  แกน (Y)</t>
  </si>
  <si>
    <t>กรอกผล</t>
  </si>
  <si>
    <t>เฉพาะตัวอักษรสีแดง</t>
  </si>
  <si>
    <t>กรอกจำนวนชั้น</t>
  </si>
  <si>
    <t>ผู้ใช้ต้องป้อนค่าจำนวนชั้นเอง</t>
  </si>
  <si>
    <t>วิเคราะห์ได้ไม่เกิน</t>
  </si>
  <si>
    <t>40 ชั้น</t>
  </si>
  <si>
    <t>โหลดต่อชั้น</t>
  </si>
  <si>
    <t>ผู้ใช้ต้องป้อนค่าโหลดต่อชั้นเอง</t>
  </si>
  <si>
    <t>เริ่มเขียน</t>
  </si>
  <si>
    <t>แล้วเสร็จ</t>
  </si>
  <si>
    <t>แล้วเสร็จประมาณ 4 ทุ่ม</t>
  </si>
  <si>
    <t>วัตถุประสงค์</t>
  </si>
  <si>
    <t>เพื่อให้เข้าใจแรงแผ่นดินไหวที่กับทำต่ออาคาร</t>
  </si>
  <si>
    <t>และเพื่อความสะดวกในการคำนวณ</t>
  </si>
  <si>
    <t>ผู้เขียน</t>
  </si>
  <si>
    <t>อดิเทพ อิศรางกูร ณ อยุธยา</t>
  </si>
  <si>
    <r>
      <t xml:space="preserve">ค่า P  </t>
    </r>
    <r>
      <rPr>
        <sz val="36"/>
        <color theme="1"/>
        <rFont val="Symbol"/>
        <family val="1"/>
        <charset val="2"/>
      </rPr>
      <t>D</t>
    </r>
    <r>
      <rPr>
        <sz val="36"/>
        <color theme="1"/>
        <rFont val="AngsanaUPC"/>
        <family val="2"/>
        <charset val="222"/>
      </rPr>
      <t>EFFECT</t>
    </r>
  </si>
  <si>
    <t>อาคารและโครงสร้างอื่นๆที่มีความสำคัญไม่มากนัก อาทิ บ้านพักอาศัย 2 ชั้นขึ้นไป,โรงงานขนาดเล็ก</t>
  </si>
  <si>
    <r>
      <t>0.067</t>
    </r>
    <r>
      <rPr>
        <sz val="16"/>
        <color theme="1"/>
        <rFont val="Symbol"/>
        <family val="1"/>
        <charset val="2"/>
      </rPr>
      <t xml:space="preserve">£ </t>
    </r>
    <r>
      <rPr>
        <sz val="16"/>
        <color theme="1"/>
        <rFont val="Angsana New"/>
        <family val="1"/>
      </rPr>
      <t>SD1 &lt; 0.133</t>
    </r>
  </si>
  <si>
    <r>
      <t>0.133</t>
    </r>
    <r>
      <rPr>
        <sz val="16"/>
        <color theme="1"/>
        <rFont val="Symbol"/>
        <family val="1"/>
        <charset val="2"/>
      </rPr>
      <t xml:space="preserve">£ </t>
    </r>
    <r>
      <rPr>
        <sz val="16"/>
        <color theme="1"/>
        <rFont val="Angsana New"/>
        <family val="1"/>
      </rPr>
      <t>SD1 &lt; 0.20</t>
    </r>
  </si>
  <si>
    <t>เมื่อ hn คือความสูงอาคารและ N คือจำนวนชั้น</t>
  </si>
  <si>
    <t xml:space="preserve">คาบการสั่นพื้นฐาน  </t>
  </si>
  <si>
    <t>ระบบโครงอาคาร</t>
  </si>
  <si>
    <t>แบบ Frame</t>
  </si>
  <si>
    <t>ระบบโครงต้านแรงดัด</t>
  </si>
  <si>
    <t>(Moment Frame)</t>
  </si>
  <si>
    <t>โครงสร้างแบบผสมที่มีโครงต้านทานการดัดแบบเหนียวพิ</t>
  </si>
  <si>
    <t>เศษที่ต้านแรงด้านข้างไม่น้อยกว่า 25 %</t>
  </si>
  <si>
    <t>โครงสร้างแบบผสมที่มีโครงต้านทานการดัดแบบเหนียว</t>
  </si>
  <si>
    <t>ปานกลางที่สามารต้านแรงด้านข้างไม่น้อยกว่า 25%</t>
  </si>
  <si>
    <t>ร่วมกับโครงแกงแนงเหล็กตรงศูนย์แบบเหนียวพิเศษ</t>
  </si>
  <si>
    <t>ร่วมกับผนังเฉือนแบบเหนียวพิเศษ</t>
  </si>
  <si>
    <t>ร่วมกับผนังเฉือนแบบธรรมดา  (ใช้กับประเภท  ง  ไม่ได้)</t>
  </si>
  <si>
    <t>ระบบปฏิสัมพันธ์ระหว่างผนังเฉือนและโครงต้านการดัดแบบธรรมดา  (ใช้กับประเภท ค ,ง  ไม่ได้)</t>
  </si>
  <si>
    <t>ระบบโครงสร้างที่ไม่มีการให้รายละเอียดสำหรับต้านทานแผ่นดินไหว  (ใช้กับประเภท  ง  ไม่ได้)</t>
  </si>
  <si>
    <t xml:space="preserve">ส่วนของการเลือกใช้ชนิดของประเภทอาคาร ผู้ใช้ต้องประเภท ค่าเอง  เช่น  โปรแกรมคิด ค่าจาก SDS เป็น ก  SD1 เป็น ค  แต่ประเภทอาคารที่ใช้ไม่สามารถออกแบบ </t>
  </si>
  <si>
    <t>แรง ค ได้ ต้องเลือกประเภทโครงสร้างใหม่</t>
  </si>
  <si>
    <t>ส่วน มยผ. 1302  ต่างจังหวัด ยังพัฒนาไม่แล้วเสร็จ</t>
  </si>
  <si>
    <t>ตามแนวแกน X-X หรือ แกน W-E</t>
  </si>
  <si>
    <t>รวมน้ำหนักอาคาร W</t>
  </si>
  <si>
    <t>กว้าง(m.)</t>
  </si>
  <si>
    <t>ลึก(m.)</t>
  </si>
  <si>
    <t>คาน No.</t>
  </si>
  <si>
    <t>B1</t>
  </si>
  <si>
    <t>B2</t>
  </si>
  <si>
    <t>B3</t>
  </si>
  <si>
    <t>B4</t>
  </si>
  <si>
    <t>ยาว</t>
  </si>
  <si>
    <t>B5</t>
  </si>
  <si>
    <t>B6</t>
  </si>
  <si>
    <t>นน.</t>
  </si>
  <si>
    <t>C1</t>
  </si>
  <si>
    <t>C2</t>
  </si>
  <si>
    <t>C3</t>
  </si>
  <si>
    <t>C4</t>
  </si>
  <si>
    <t>C5</t>
  </si>
  <si>
    <t>C6</t>
  </si>
  <si>
    <t>จำนวน (ต้น)</t>
  </si>
  <si>
    <t>Kg/FL</t>
  </si>
  <si>
    <t>ต้น</t>
  </si>
  <si>
    <t>Kg./FL</t>
  </si>
  <si>
    <t>S2</t>
  </si>
  <si>
    <t>S3</t>
  </si>
  <si>
    <t>S4</t>
  </si>
  <si>
    <t>S5</t>
  </si>
  <si>
    <t>S6</t>
  </si>
  <si>
    <t>Sq.m.</t>
  </si>
  <si>
    <t>สูง</t>
  </si>
  <si>
    <t>น้ำหนักกำแพง</t>
  </si>
  <si>
    <t>W1</t>
  </si>
  <si>
    <t>W2</t>
  </si>
  <si>
    <t>W3</t>
  </si>
  <si>
    <t>W4</t>
  </si>
  <si>
    <t>W6</t>
  </si>
  <si>
    <t>RC.W1</t>
  </si>
  <si>
    <t>หนา</t>
  </si>
  <si>
    <t>กว้าง (m.)</t>
  </si>
  <si>
    <t>ลึก (m.)</t>
  </si>
  <si>
    <t>ยาว(m.)</t>
  </si>
  <si>
    <t>หนา(m.)</t>
  </si>
  <si>
    <t>Area(m.)</t>
  </si>
  <si>
    <t>วัสดุปูผิว(kg./m^2)</t>
  </si>
  <si>
    <t>เสา No.</t>
  </si>
  <si>
    <t>พื้น No.</t>
  </si>
  <si>
    <t>ผนังก่อ No.</t>
  </si>
  <si>
    <t>กำแพง RC No.</t>
  </si>
  <si>
    <t>คานแกงแนง No.</t>
  </si>
  <si>
    <t>tons./FL</t>
  </si>
  <si>
    <t>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</si>
</sst>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87" formatCode="&quot;บริเวณที่&quot;0&quot;.&quot;"/>
    <numFmt numFmtId="188" formatCode="0.00&quot;m.&quot;"/>
    <numFmt numFmtId="189" formatCode="0.00&quot;Kg-m&quot;"/>
    <numFmt numFmtId="190" formatCode="0.00&quot;Kg-m^2.&quot;"/>
    <numFmt numFmtId="191" formatCode="0.00&quot;ต้น&quot;"/>
    <numFmt numFmtId="192" formatCode="0.0&quot;Kg-m^2.&quot;"/>
    <numFmt numFmtId="193" formatCode="0.0&quot;Kg-m&quot;"/>
    <numFmt numFmtId="194" formatCode="0.0&quot;kg.&quot;"/>
    <numFmt numFmtId="195" formatCode="0.0&quot;tons&quot;"/>
    <numFmt numFmtId="196" formatCode="0.0000&quot;W&quot;"/>
    <numFmt numFmtId="197" formatCode="0.000"/>
    <numFmt numFmtId="198" formatCode="0.0000"/>
    <numFmt numFmtId="199" formatCode="0.0"/>
    <numFmt numFmtId="200" formatCode="#,##0.0000"/>
    <numFmt numFmtId="201" formatCode="0.000&quot;    เมื่อCS&gt;0.14ใช้0.14หาก&lt;0.24 = ผลคูณ C*S&quot;"/>
    <numFmt numFmtId="202" formatCode="0.000&quot;      เมื่อCS&gt;0.26ใช้0.26หาก&lt;0.26 = ผลคูณ C*S&quot;"/>
    <numFmt numFmtId="203" formatCode="0&quot;FL&quot;"/>
    <numFmt numFmtId="204" formatCode="0.00&quot;EL(m.)&quot;"/>
    <numFmt numFmtId="205" formatCode="0.00&quot;Tons&quot;"/>
    <numFmt numFmtId="206" formatCode="&quot;โซนที่&quot;0&quot;.&quot;"/>
    <numFmt numFmtId="207" formatCode="&quot;ประเภทอาคาร&quot;0&quot;.&quot;"/>
    <numFmt numFmtId="208" formatCode="&quot;SDS=&quot;0.000&quot;g&quot;"/>
    <numFmt numFmtId="209" formatCode="&quot;SD1=&quot;0.000&quot;g&quot;"/>
    <numFmt numFmtId="210" formatCode="0&quot;Cm^4&quot;&quot;.&quot;"/>
    <numFmt numFmtId="211" formatCode="0.00&quot;m&quot;&quot;.&quot;"/>
    <numFmt numFmtId="212" formatCode="0.00&quot;ชิ้น&quot;&quot;.&quot;"/>
    <numFmt numFmtId="213" formatCode="0.00000000"/>
    <numFmt numFmtId="214" formatCode="0.0&quot;Kg./Cm&quot;&quot;.&quot;"/>
    <numFmt numFmtId="215" formatCode="0.00000000&quot;+&quot;"/>
    <numFmt numFmtId="216" formatCode="&quot;h^2=&quot;0"/>
    <numFmt numFmtId="217" formatCode="0.00&quot;Kg-cm&quot;"/>
    <numFmt numFmtId="218" formatCode="0.00&quot;ประเภทค่าโครงสร้าง&quot;"/>
    <numFmt numFmtId="219" formatCode="&quot;I&quot;\=0.00"/>
    <numFmt numFmtId="220" formatCode="&quot;&lt;0.01 hx&quot;\=0.00"/>
    <numFmt numFmtId="221" formatCode="&quot;อาคารทุกชนิด&quot;\=0.00"/>
    <numFmt numFmtId="222" formatCode="&quot;โครงต้านแรงดัด&quot;\=0.00"/>
    <numFmt numFmtId="223" formatCode="&quot;อาคารโครงสร้างเหล็ก&quot;\=0.00"/>
    <numFmt numFmtId="224" formatCode="&quot;อาคารคสล.&quot;\=0.00"/>
  </numFmts>
  <fonts count="72" x14ac:knownFonts="1">
    <font>
      <sz val="16"/>
      <color theme="1"/>
      <name val="AngsanaUPC"/>
      <family val="2"/>
      <charset val="222"/>
    </font>
    <font>
      <sz val="14"/>
      <color theme="1"/>
      <name val="AngsanaUPC"/>
      <family val="2"/>
      <charset val="222"/>
    </font>
    <font>
      <sz val="16"/>
      <color theme="1"/>
      <name val="AngsanaUPC"/>
      <family val="2"/>
      <charset val="222"/>
    </font>
    <font>
      <b/>
      <sz val="16"/>
      <color theme="1"/>
      <name val="AngsanaUPC"/>
      <family val="2"/>
      <charset val="222"/>
    </font>
    <font>
      <sz val="11"/>
      <color theme="1"/>
      <name val="Calibri"/>
      <family val="2"/>
    </font>
    <font>
      <b/>
      <sz val="16"/>
      <color theme="1"/>
      <name val="AngsanaUPC"/>
      <family val="1"/>
    </font>
    <font>
      <sz val="14"/>
      <color theme="1"/>
      <name val="Cordia New"/>
      <family val="2"/>
    </font>
    <font>
      <sz val="12"/>
      <color indexed="81"/>
      <name val="Tahoma"/>
      <family val="2"/>
    </font>
    <font>
      <b/>
      <sz val="16"/>
      <color rgb="FF00B050"/>
      <name val="AngsanaUPC"/>
      <family val="1"/>
    </font>
    <font>
      <b/>
      <sz val="16"/>
      <color theme="1"/>
      <name val="Symbol"/>
      <family val="1"/>
      <charset val="2"/>
    </font>
    <font>
      <b/>
      <sz val="12"/>
      <color theme="1"/>
      <name val="AngsanaUPC"/>
      <family val="2"/>
      <charset val="222"/>
    </font>
    <font>
      <b/>
      <sz val="12"/>
      <color theme="1"/>
      <name val="Symbol"/>
      <family val="1"/>
      <charset val="2"/>
    </font>
    <font>
      <sz val="12"/>
      <color theme="1"/>
      <name val="AngsanaUPC"/>
      <family val="2"/>
      <charset val="222"/>
    </font>
    <font>
      <sz val="12"/>
      <color theme="1"/>
      <name val="AngsanaUPC"/>
      <family val="1"/>
    </font>
    <font>
      <sz val="14"/>
      <color theme="1"/>
      <name val="AngsanaUPC"/>
      <family val="1"/>
    </font>
    <font>
      <b/>
      <sz val="12"/>
      <color theme="1"/>
      <name val="AngsanaUPC"/>
      <family val="1"/>
    </font>
    <font>
      <sz val="12"/>
      <color rgb="FFFF0000"/>
      <name val="AngsanaUPC"/>
      <family val="2"/>
      <charset val="222"/>
    </font>
    <font>
      <b/>
      <sz val="14"/>
      <color theme="1"/>
      <name val="AngsanaUPC"/>
      <family val="1"/>
    </font>
    <font>
      <b/>
      <sz val="14"/>
      <color rgb="FFFF0000"/>
      <name val="AngsanaUPC"/>
      <family val="1"/>
    </font>
    <font>
      <sz val="14"/>
      <color theme="1" tint="4.9989318521683403E-2"/>
      <name val="AngsanaUPC"/>
      <family val="1"/>
    </font>
    <font>
      <sz val="14"/>
      <color rgb="FFFF0000"/>
      <name val="AngsanaUPC"/>
      <family val="2"/>
      <charset val="222"/>
    </font>
    <font>
      <b/>
      <sz val="14"/>
      <color theme="1" tint="4.9989318521683403E-2"/>
      <name val="AngsanaUPC"/>
      <family val="1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color rgb="FF00B050"/>
      <name val="AngsanaUPC"/>
      <family val="1"/>
    </font>
    <font>
      <sz val="11"/>
      <color theme="1"/>
      <name val="Symbol"/>
      <family val="1"/>
      <charset val="2"/>
    </font>
    <font>
      <sz val="11"/>
      <color theme="1"/>
      <name val="Stylus BT"/>
      <family val="2"/>
    </font>
    <font>
      <vertAlign val="subscript"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2"/>
      <name val="AngsanaUPC"/>
      <family val="1"/>
      <charset val="222"/>
    </font>
    <font>
      <b/>
      <sz val="13.6"/>
      <color theme="1"/>
      <name val="AngsanaUPC"/>
      <family val="2"/>
      <charset val="222"/>
    </font>
    <font>
      <sz val="9.35"/>
      <color theme="1"/>
      <name val="Symbol"/>
      <family val="1"/>
      <charset val="2"/>
    </font>
    <font>
      <sz val="14"/>
      <color theme="1" tint="4.9989318521683403E-2"/>
      <name val="AngsanaUPC"/>
      <family val="2"/>
      <charset val="222"/>
    </font>
    <font>
      <sz val="14"/>
      <color theme="1"/>
      <name val="Symbol"/>
      <family val="1"/>
      <charset val="2"/>
    </font>
    <font>
      <sz val="12"/>
      <color theme="1" tint="4.9989318521683403E-2"/>
      <name val="AngsanaUPC"/>
      <family val="2"/>
      <charset val="222"/>
    </font>
    <font>
      <b/>
      <sz val="12"/>
      <color rgb="FFFF0000"/>
      <name val="AngsanaUPC"/>
      <family val="1"/>
    </font>
    <font>
      <b/>
      <sz val="18"/>
      <color rgb="FF00B050"/>
      <name val="AngsanaUPC"/>
      <family val="1"/>
    </font>
    <font>
      <sz val="18"/>
      <color theme="1"/>
      <name val="AngsanaUPC"/>
      <family val="2"/>
      <charset val="222"/>
    </font>
    <font>
      <b/>
      <sz val="20"/>
      <color theme="1"/>
      <name val="AngsanaUPC"/>
      <family val="1"/>
    </font>
    <font>
      <b/>
      <sz val="18"/>
      <color theme="1"/>
      <name val="AngsanaUPC"/>
      <family val="1"/>
    </font>
    <font>
      <b/>
      <sz val="20"/>
      <color indexed="9"/>
      <name val="AngsanaUPC"/>
      <family val="1"/>
      <charset val="222"/>
    </font>
    <font>
      <b/>
      <sz val="14"/>
      <color theme="1"/>
      <name val="Angsana New"/>
      <family val="1"/>
    </font>
    <font>
      <sz val="24"/>
      <color theme="1"/>
      <name val="AngsanaUPC"/>
      <family val="2"/>
      <charset val="222"/>
    </font>
    <font>
      <b/>
      <sz val="24"/>
      <color theme="1"/>
      <name val="Symbol"/>
      <family val="1"/>
      <charset val="2"/>
    </font>
    <font>
      <b/>
      <sz val="12"/>
      <color theme="1" tint="4.9989318521683403E-2"/>
      <name val="AngsanaUPC"/>
      <family val="1"/>
    </font>
    <font>
      <sz val="36"/>
      <color theme="1"/>
      <name val="AngsanaUPC"/>
      <family val="2"/>
      <charset val="222"/>
    </font>
    <font>
      <sz val="16"/>
      <color rgb="FF00B050"/>
      <name val="AngsanaUPC"/>
      <family val="2"/>
      <charset val="222"/>
    </font>
    <font>
      <sz val="11"/>
      <color rgb="FF222222"/>
      <name val="Arial"/>
      <family val="2"/>
    </font>
    <font>
      <b/>
      <sz val="26"/>
      <color rgb="FFFF0000"/>
      <name val="AngsanaUPC"/>
      <family val="1"/>
    </font>
    <font>
      <b/>
      <sz val="16"/>
      <color rgb="FFFF0000"/>
      <name val="AngsanaUPC"/>
      <family val="1"/>
    </font>
    <font>
      <b/>
      <sz val="22"/>
      <color rgb="FF00B050"/>
      <name val="AngsanaUPC"/>
      <family val="1"/>
    </font>
    <font>
      <b/>
      <sz val="24"/>
      <color rgb="FF00B050"/>
      <name val="AngsanaUPC"/>
      <family val="1"/>
    </font>
    <font>
      <sz val="16"/>
      <color theme="1" tint="4.9989318521683403E-2"/>
      <name val="AngsanaUPC"/>
      <family val="2"/>
      <charset val="222"/>
    </font>
    <font>
      <sz val="16"/>
      <color theme="1"/>
      <name val="Symbol"/>
      <family val="1"/>
      <charset val="2"/>
    </font>
    <font>
      <sz val="16"/>
      <color theme="1"/>
      <name val="Angsana New"/>
      <family val="1"/>
    </font>
    <font>
      <b/>
      <sz val="24"/>
      <color rgb="FFFF0000"/>
      <name val="AngsanaUPC"/>
      <family val="1"/>
    </font>
    <font>
      <sz val="12"/>
      <color rgb="FFFF0000"/>
      <name val="AngsanaUPC"/>
      <family val="1"/>
    </font>
    <font>
      <sz val="16"/>
      <color rgb="FFFF0000"/>
      <name val="AngsanaUPC"/>
      <family val="2"/>
      <charset val="222"/>
    </font>
    <font>
      <b/>
      <sz val="20"/>
      <color rgb="FF00B050"/>
      <name val="AngsanaUPC"/>
      <family val="1"/>
    </font>
    <font>
      <b/>
      <sz val="28"/>
      <color theme="1"/>
      <name val="AngsanaUPC"/>
      <family val="1"/>
    </font>
    <font>
      <b/>
      <sz val="20"/>
      <color indexed="81"/>
      <name val="Angsana New"/>
      <family val="1"/>
    </font>
    <font>
      <b/>
      <sz val="20"/>
      <color indexed="81"/>
      <name val="Symbol"/>
      <family val="1"/>
      <charset val="2"/>
    </font>
    <font>
      <sz val="18"/>
      <color theme="1"/>
      <name val="AngsanaUPC"/>
      <family val="1"/>
    </font>
    <font>
      <sz val="16"/>
      <color theme="1"/>
      <name val="Swis721 Lt BT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2"/>
      <color theme="1"/>
      <name val="AngsanaUPC"/>
      <family val="1"/>
    </font>
    <font>
      <b/>
      <sz val="20"/>
      <color theme="1" tint="4.9989318521683403E-2"/>
      <name val="AngsanaUPC"/>
      <family val="1"/>
    </font>
    <font>
      <sz val="28"/>
      <color theme="1"/>
      <name val="AngsanaUPC"/>
      <family val="2"/>
      <charset val="222"/>
    </font>
    <font>
      <u/>
      <sz val="16"/>
      <color theme="1"/>
      <name val="AngsanaUPC"/>
      <family val="1"/>
    </font>
    <font>
      <sz val="36"/>
      <color theme="1"/>
      <name val="Symbol"/>
      <family val="1"/>
      <charset val="2"/>
    </font>
    <font>
      <b/>
      <sz val="18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lightGray">
        <fgColor theme="0" tint="-0.14996795556505021"/>
        <bgColor theme="0"/>
      </patternFill>
    </fill>
    <fill>
      <patternFill patternType="lightGray">
        <fgColor theme="5" tint="0.59996337778862885"/>
        <bgColor theme="0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133">
    <border>
      <left/>
      <right/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 tint="0.39997558519241921"/>
      </top>
      <bottom style="dashed">
        <color theme="8" tint="0.39997558519241921"/>
      </bottom>
      <diagonal/>
    </border>
    <border>
      <left style="thin">
        <color indexed="64"/>
      </left>
      <right style="thin">
        <color indexed="64"/>
      </right>
      <top style="dashed">
        <color theme="8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ashed">
        <color theme="3" tint="0.59999389629810485"/>
      </bottom>
      <diagonal/>
    </border>
    <border>
      <left style="thin">
        <color indexed="64"/>
      </left>
      <right style="thin">
        <color indexed="64"/>
      </right>
      <top style="dashed">
        <color theme="3" tint="0.59999389629810485"/>
      </top>
      <bottom style="dashed">
        <color theme="3" tint="0.5999938962981048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rgb="FF00B0F0"/>
      </top>
      <bottom style="dashed">
        <color rgb="FF00B0F0"/>
      </bottom>
      <diagonal/>
    </border>
    <border>
      <left style="thin">
        <color indexed="64"/>
      </left>
      <right/>
      <top style="dashed">
        <color rgb="FF00B0F0"/>
      </top>
      <bottom style="dashed">
        <color rgb="FF00B0F0"/>
      </bottom>
      <diagonal/>
    </border>
    <border>
      <left style="thin">
        <color indexed="64"/>
      </left>
      <right/>
      <top style="dashed">
        <color rgb="FF00B0F0"/>
      </top>
      <bottom style="thin">
        <color indexed="64"/>
      </bottom>
      <diagonal/>
    </border>
    <border>
      <left/>
      <right/>
      <top style="dashed">
        <color rgb="FF00B0F0"/>
      </top>
      <bottom style="dashed">
        <color rgb="FF00B0F0"/>
      </bottom>
      <diagonal/>
    </border>
    <border>
      <left/>
      <right/>
      <top style="dashed">
        <color rgb="FF00B0F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rgb="FF00B0F0"/>
      </top>
      <bottom style="thin">
        <color indexed="64"/>
      </bottom>
      <diagonal/>
    </border>
    <border>
      <left/>
      <right style="thin">
        <color indexed="64"/>
      </right>
      <top style="dashed">
        <color theme="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rgb="FF00B0F0"/>
      </bottom>
      <diagonal/>
    </border>
    <border>
      <left/>
      <right/>
      <top/>
      <bottom style="dashed">
        <color rgb="FF00B0F0"/>
      </bottom>
      <diagonal/>
    </border>
    <border>
      <left style="thin">
        <color indexed="64"/>
      </left>
      <right style="thin">
        <color indexed="64"/>
      </right>
      <top style="dashed">
        <color rgb="FF00B0F0"/>
      </top>
      <bottom/>
      <diagonal/>
    </border>
    <border>
      <left style="thin">
        <color indexed="64"/>
      </left>
      <right/>
      <top/>
      <bottom style="dashed">
        <color rgb="FF00B0F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theme="8" tint="0.39997558519241921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 style="dotted">
        <color auto="1"/>
      </diagonal>
    </border>
    <border diagonalUp="1" diagonalDown="1">
      <left style="thin">
        <color indexed="64"/>
      </left>
      <right style="thin">
        <color indexed="64"/>
      </right>
      <top/>
      <bottom style="dotted">
        <color indexed="64"/>
      </bottom>
      <diagonal style="dotted">
        <color auto="1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 tint="0.59999389629810485"/>
      </top>
      <bottom style="dashed">
        <color theme="8" tint="0.59999389629810485"/>
      </bottom>
      <diagonal/>
    </border>
    <border>
      <left/>
      <right style="thin">
        <color indexed="64"/>
      </right>
      <top style="dashed">
        <color theme="4"/>
      </top>
      <bottom style="dashed">
        <color theme="4"/>
      </bottom>
      <diagonal/>
    </border>
    <border>
      <left style="thin">
        <color indexed="64"/>
      </left>
      <right style="thin">
        <color indexed="64"/>
      </right>
      <top/>
      <bottom style="dashed">
        <color theme="8" tint="0.59999389629810485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ashed">
        <color theme="8" tint="0.39997558519241921"/>
      </top>
      <bottom style="dashed">
        <color theme="8" tint="0.3999755851924192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theme="8" tint="0.59999389629810485"/>
      </bottom>
      <diagonal/>
    </border>
    <border>
      <left/>
      <right style="thin">
        <color indexed="64"/>
      </right>
      <top style="dashed">
        <color theme="8" tint="0.59999389629810485"/>
      </top>
      <bottom style="dashed">
        <color theme="8" tint="0.59999389629810485"/>
      </bottom>
      <diagonal/>
    </border>
    <border>
      <left/>
      <right style="thin">
        <color indexed="64"/>
      </right>
      <top style="dashed">
        <color theme="8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 tint="0.39997558519241921"/>
      </bottom>
      <diagonal/>
    </border>
    <border>
      <left/>
      <right style="thin">
        <color indexed="64"/>
      </right>
      <top/>
      <bottom style="dashed">
        <color theme="4"/>
      </bottom>
      <diagonal/>
    </border>
    <border>
      <left style="dashDotDot">
        <color rgb="FFFF0000"/>
      </left>
      <right/>
      <top style="dashDotDot">
        <color rgb="FFFF0000"/>
      </top>
      <bottom style="dashDotDot">
        <color rgb="FFFF0000"/>
      </bottom>
      <diagonal/>
    </border>
    <border>
      <left/>
      <right/>
      <top style="dashDotDot">
        <color rgb="FFFF0000"/>
      </top>
      <bottom style="dashDotDot">
        <color rgb="FFFF0000"/>
      </bottom>
      <diagonal/>
    </border>
    <border>
      <left/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dashDotDot">
        <color rgb="FFFF0000"/>
      </left>
      <right/>
      <top style="dashDotDot">
        <color rgb="FFFF0000"/>
      </top>
      <bottom/>
      <diagonal/>
    </border>
    <border>
      <left/>
      <right style="dashDotDot">
        <color rgb="FFFF0000"/>
      </right>
      <top style="dashDotDot">
        <color rgb="FFFF0000"/>
      </top>
      <bottom/>
      <diagonal/>
    </border>
    <border>
      <left style="dashDotDot">
        <color rgb="FFFF0000"/>
      </left>
      <right/>
      <top/>
      <bottom/>
      <diagonal/>
    </border>
    <border>
      <left/>
      <right style="dashDotDot">
        <color rgb="FFFF0000"/>
      </right>
      <top/>
      <bottom/>
      <diagonal/>
    </border>
    <border>
      <left style="dashDotDot">
        <color rgb="FFFF0000"/>
      </left>
      <right/>
      <top/>
      <bottom style="dashDotDot">
        <color rgb="FFFF0000"/>
      </bottom>
      <diagonal/>
    </border>
    <border>
      <left/>
      <right style="dashDotDot">
        <color rgb="FFFF0000"/>
      </right>
      <top/>
      <bottom style="dashDotDot">
        <color rgb="FFFF0000"/>
      </bottom>
      <diagonal/>
    </border>
    <border>
      <left/>
      <right/>
      <top style="dashDotDot">
        <color rgb="FFFF0000"/>
      </top>
      <bottom/>
      <diagonal/>
    </border>
    <border>
      <left/>
      <right/>
      <top/>
      <bottom style="dashDotDot">
        <color rgb="FFFF0000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 style="medium">
        <color indexed="64"/>
      </left>
      <right/>
      <top style="medium">
        <color indexed="64"/>
      </top>
      <bottom style="dashDotDot">
        <color indexed="64"/>
      </bottom>
      <diagonal/>
    </border>
    <border>
      <left/>
      <right/>
      <top style="medium">
        <color indexed="64"/>
      </top>
      <bottom style="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Dot">
        <color indexed="64"/>
      </bottom>
      <diagonal/>
    </border>
    <border>
      <left style="medium">
        <color indexed="64"/>
      </left>
      <right/>
      <top style="dashDotDot">
        <color indexed="64"/>
      </top>
      <bottom style="dashDotDot">
        <color indexed="64"/>
      </bottom>
      <diagonal/>
    </border>
    <border>
      <left/>
      <right style="medium">
        <color indexed="64"/>
      </right>
      <top style="dashDotDot">
        <color indexed="64"/>
      </top>
      <bottom style="dashDotDot">
        <color indexed="64"/>
      </bottom>
      <diagonal/>
    </border>
    <border>
      <left style="medium">
        <color indexed="64"/>
      </left>
      <right style="dashDotDot">
        <color indexed="64"/>
      </right>
      <top/>
      <bottom style="dashDotDot">
        <color indexed="64"/>
      </bottom>
      <diagonal/>
    </border>
    <border>
      <left style="dashDotDot">
        <color indexed="64"/>
      </left>
      <right style="medium">
        <color indexed="64"/>
      </right>
      <top/>
      <bottom style="dashDotDot">
        <color indexed="64"/>
      </bottom>
      <diagonal/>
    </border>
    <border>
      <left style="medium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medium">
        <color indexed="64"/>
      </right>
      <top style="dashDotDot">
        <color indexed="64"/>
      </top>
      <bottom style="dashDotDot">
        <color indexed="64"/>
      </bottom>
      <diagonal/>
    </border>
    <border>
      <left style="medium">
        <color indexed="64"/>
      </left>
      <right/>
      <top style="dashDotDot">
        <color indexed="64"/>
      </top>
      <bottom style="medium">
        <color indexed="64"/>
      </bottom>
      <diagonal/>
    </border>
    <border>
      <left/>
      <right/>
      <top style="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dashDotDot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 tint="0.59999389629810485"/>
      </top>
      <bottom style="dashed">
        <color rgb="FF0070C0"/>
      </bottom>
      <diagonal/>
    </border>
    <border>
      <left/>
      <right style="medium">
        <color indexed="64"/>
      </right>
      <top style="dashDotDot">
        <color rgb="FFFF0000"/>
      </top>
      <bottom/>
      <diagonal/>
    </border>
    <border>
      <left/>
      <right style="medium">
        <color indexed="64"/>
      </right>
      <top/>
      <bottom style="dashDotDot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ashed">
        <color rgb="FF00B0F0"/>
      </top>
      <bottom style="dashed">
        <color rgb="FF00B0F0"/>
      </bottom>
      <diagonal/>
    </border>
    <border>
      <left/>
      <right style="thin">
        <color indexed="64"/>
      </right>
      <top/>
      <bottom style="dashed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rgb="FF0070C0"/>
      </bottom>
      <diagonal/>
    </border>
    <border>
      <left style="thin">
        <color indexed="64"/>
      </left>
      <right style="thin">
        <color indexed="64"/>
      </right>
      <top style="dashed">
        <color rgb="FF0070C0"/>
      </top>
      <bottom style="dashed">
        <color rgb="FF0070C0"/>
      </bottom>
      <diagonal/>
    </border>
    <border>
      <left style="thin">
        <color indexed="64"/>
      </left>
      <right style="thin">
        <color indexed="64"/>
      </right>
      <top style="dashed">
        <color rgb="FF0070C0"/>
      </top>
      <bottom style="thin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/>
      <diagonal/>
    </border>
    <border>
      <left style="dashDotDot">
        <color rgb="FFFF0000"/>
      </left>
      <right style="dashDotDot">
        <color rgb="FFFF0000"/>
      </right>
      <top/>
      <bottom style="dashDotDot">
        <color rgb="FFFF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rgb="FFFF0000"/>
      </left>
      <right/>
      <top style="dashed">
        <color rgb="FFFF0000"/>
      </top>
      <bottom style="dashed">
        <color rgb="FFFF0000"/>
      </bottom>
      <diagonal/>
    </border>
    <border>
      <left/>
      <right/>
      <top style="dashed">
        <color rgb="FFFF0000"/>
      </top>
      <bottom style="dashed">
        <color rgb="FFFF0000"/>
      </bottom>
      <diagonal/>
    </border>
    <border>
      <left/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indexed="64"/>
      </left>
      <right style="dashed">
        <color theme="1"/>
      </right>
      <top style="thin">
        <color indexed="64"/>
      </top>
      <bottom style="dashed">
        <color theme="1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/>
      <diagonal/>
    </border>
    <border>
      <left style="dashed">
        <color rgb="FFFF0000"/>
      </left>
      <right style="dashed">
        <color rgb="FFFF0000"/>
      </right>
      <top/>
      <bottom/>
      <diagonal/>
    </border>
    <border>
      <left style="dashed">
        <color rgb="FFFF0000"/>
      </left>
      <right style="dashed">
        <color rgb="FFFF0000"/>
      </right>
      <top/>
      <bottom style="dashed">
        <color rgb="FFFF0000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53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187" fontId="0" fillId="0" borderId="0" xfId="0" applyNumberFormat="1"/>
    <xf numFmtId="2" fontId="0" fillId="0" borderId="0" xfId="0" applyNumberFormat="1"/>
    <xf numFmtId="43" fontId="0" fillId="0" borderId="0" xfId="1" applyFont="1"/>
    <xf numFmtId="0" fontId="12" fillId="0" borderId="0" xfId="0" applyFont="1"/>
    <xf numFmtId="43" fontId="34" fillId="5" borderId="48" xfId="1" applyFont="1" applyFill="1" applyBorder="1" applyAlignment="1">
      <alignment horizontal="center"/>
    </xf>
    <xf numFmtId="43" fontId="0" fillId="0" borderId="0" xfId="0" applyNumberFormat="1"/>
    <xf numFmtId="0" fontId="0" fillId="5" borderId="0" xfId="0" applyFill="1"/>
    <xf numFmtId="0" fontId="0" fillId="5" borderId="55" xfId="0" applyFill="1" applyBorder="1"/>
    <xf numFmtId="0" fontId="0" fillId="5" borderId="0" xfId="0" applyFill="1" applyBorder="1"/>
    <xf numFmtId="0" fontId="0" fillId="5" borderId="57" xfId="0" applyFill="1" applyBorder="1"/>
    <xf numFmtId="0" fontId="1" fillId="5" borderId="0" xfId="0" applyFont="1" applyFill="1" applyBorder="1"/>
    <xf numFmtId="0" fontId="1" fillId="5" borderId="15" xfId="0" applyFont="1" applyFill="1" applyBorder="1"/>
    <xf numFmtId="0" fontId="29" fillId="5" borderId="0" xfId="0" applyFont="1" applyFill="1" applyBorder="1"/>
    <xf numFmtId="0" fontId="1" fillId="5" borderId="31" xfId="0" applyFont="1" applyFill="1" applyBorder="1"/>
    <xf numFmtId="0" fontId="18" fillId="5" borderId="31" xfId="0" applyFont="1" applyFill="1" applyBorder="1" applyAlignment="1">
      <alignment horizontal="center"/>
    </xf>
    <xf numFmtId="0" fontId="0" fillId="5" borderId="31" xfId="0" applyFill="1" applyBorder="1"/>
    <xf numFmtId="0" fontId="29" fillId="5" borderId="31" xfId="0" applyFont="1" applyFill="1" applyBorder="1"/>
    <xf numFmtId="0" fontId="1" fillId="5" borderId="27" xfId="0" applyFont="1" applyFill="1" applyBorder="1"/>
    <xf numFmtId="188" fontId="18" fillId="5" borderId="42" xfId="0" applyNumberFormat="1" applyFont="1" applyFill="1" applyBorder="1" applyAlignment="1">
      <alignment horizontal="center"/>
    </xf>
    <xf numFmtId="0" fontId="1" fillId="5" borderId="38" xfId="0" applyFont="1" applyFill="1" applyBorder="1"/>
    <xf numFmtId="188" fontId="18" fillId="5" borderId="41" xfId="0" applyNumberFormat="1" applyFont="1" applyFill="1" applyBorder="1" applyAlignment="1">
      <alignment horizontal="center"/>
    </xf>
    <xf numFmtId="0" fontId="1" fillId="5" borderId="39" xfId="0" applyFont="1" applyFill="1" applyBorder="1"/>
    <xf numFmtId="0" fontId="1" fillId="5" borderId="37" xfId="0" applyFont="1" applyFill="1" applyBorder="1"/>
    <xf numFmtId="192" fontId="19" fillId="5" borderId="40" xfId="0" applyNumberFormat="1" applyFont="1" applyFill="1" applyBorder="1" applyAlignment="1">
      <alignment horizontal="center"/>
    </xf>
    <xf numFmtId="193" fontId="19" fillId="5" borderId="40" xfId="0" applyNumberFormat="1" applyFont="1" applyFill="1" applyBorder="1" applyAlignment="1">
      <alignment horizontal="center"/>
    </xf>
    <xf numFmtId="194" fontId="19" fillId="5" borderId="46" xfId="0" applyNumberFormat="1" applyFont="1" applyFill="1" applyBorder="1" applyAlignment="1">
      <alignment horizontal="center"/>
    </xf>
    <xf numFmtId="0" fontId="1" fillId="5" borderId="46" xfId="0" applyFont="1" applyFill="1" applyBorder="1"/>
    <xf numFmtId="0" fontId="1" fillId="5" borderId="50" xfId="0" applyFont="1" applyFill="1" applyBorder="1"/>
    <xf numFmtId="190" fontId="19" fillId="5" borderId="0" xfId="0" applyNumberFormat="1" applyFont="1" applyFill="1" applyBorder="1" applyAlignment="1">
      <alignment horizontal="center"/>
    </xf>
    <xf numFmtId="0" fontId="14" fillId="5" borderId="0" xfId="0" applyFont="1" applyFill="1" applyBorder="1"/>
    <xf numFmtId="0" fontId="20" fillId="5" borderId="0" xfId="0" applyFont="1" applyFill="1" applyBorder="1"/>
    <xf numFmtId="0" fontId="1" fillId="5" borderId="0" xfId="0" applyFont="1" applyFill="1" applyBorder="1" applyAlignment="1"/>
    <xf numFmtId="0" fontId="23" fillId="5" borderId="0" xfId="0" applyFont="1" applyFill="1" applyBorder="1" applyAlignment="1">
      <alignment horizontal="left" vertical="center" indent="5"/>
    </xf>
    <xf numFmtId="0" fontId="1" fillId="5" borderId="34" xfId="0" applyFont="1" applyFill="1" applyBorder="1"/>
    <xf numFmtId="0" fontId="1" fillId="5" borderId="33" xfId="0" applyFont="1" applyFill="1" applyBorder="1"/>
    <xf numFmtId="0" fontId="1" fillId="5" borderId="0" xfId="0" applyFont="1" applyFill="1" applyBorder="1" applyAlignment="1">
      <alignment horizontal="center"/>
    </xf>
    <xf numFmtId="0" fontId="6" fillId="5" borderId="31" xfId="0" applyFont="1" applyFill="1" applyBorder="1" applyAlignment="1">
      <alignment horizontal="left" vertical="center" indent="5"/>
    </xf>
    <xf numFmtId="0" fontId="1" fillId="5" borderId="31" xfId="0" applyFont="1" applyFill="1" applyBorder="1" applyAlignment="1">
      <alignment horizontal="center"/>
    </xf>
    <xf numFmtId="196" fontId="37" fillId="5" borderId="30" xfId="0" applyNumberFormat="1" applyFont="1" applyFill="1" applyBorder="1" applyAlignment="1">
      <alignment horizontal="center"/>
    </xf>
    <xf numFmtId="0" fontId="37" fillId="5" borderId="30" xfId="0" applyFont="1" applyFill="1" applyBorder="1"/>
    <xf numFmtId="0" fontId="37" fillId="5" borderId="30" xfId="0" applyFont="1" applyFill="1" applyBorder="1" applyAlignment="1">
      <alignment horizontal="right"/>
    </xf>
    <xf numFmtId="2" fontId="37" fillId="5" borderId="30" xfId="0" applyNumberFormat="1" applyFont="1" applyFill="1" applyBorder="1"/>
    <xf numFmtId="0" fontId="37" fillId="5" borderId="13" xfId="0" applyFont="1" applyFill="1" applyBorder="1"/>
    <xf numFmtId="0" fontId="1" fillId="5" borderId="34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right"/>
    </xf>
    <xf numFmtId="43" fontId="0" fillId="5" borderId="0" xfId="1" applyFont="1" applyFill="1" applyBorder="1"/>
    <xf numFmtId="0" fontId="0" fillId="5" borderId="15" xfId="0" applyFill="1" applyBorder="1"/>
    <xf numFmtId="0" fontId="0" fillId="5" borderId="27" xfId="0" applyFill="1" applyBorder="1"/>
    <xf numFmtId="0" fontId="12" fillId="5" borderId="0" xfId="0" applyFont="1" applyFill="1"/>
    <xf numFmtId="4" fontId="12" fillId="5" borderId="28" xfId="0" applyNumberFormat="1" applyFont="1" applyFill="1" applyBorder="1" applyAlignment="1">
      <alignment horizontal="center"/>
    </xf>
    <xf numFmtId="197" fontId="12" fillId="5" borderId="28" xfId="0" applyNumberFormat="1" applyFont="1" applyFill="1" applyBorder="1" applyAlignment="1">
      <alignment horizontal="center"/>
    </xf>
    <xf numFmtId="4" fontId="12" fillId="5" borderId="8" xfId="0" applyNumberFormat="1" applyFont="1" applyFill="1" applyBorder="1" applyAlignment="1">
      <alignment horizontal="center"/>
    </xf>
    <xf numFmtId="197" fontId="12" fillId="5" borderId="8" xfId="0" applyNumberFormat="1" applyFont="1" applyFill="1" applyBorder="1" applyAlignment="1">
      <alignment horizontal="center"/>
    </xf>
    <xf numFmtId="4" fontId="12" fillId="5" borderId="4" xfId="0" applyNumberFormat="1" applyFont="1" applyFill="1" applyBorder="1" applyAlignment="1">
      <alignment horizontal="center"/>
    </xf>
    <xf numFmtId="198" fontId="12" fillId="5" borderId="4" xfId="0" applyNumberFormat="1" applyFont="1" applyFill="1" applyBorder="1" applyAlignment="1">
      <alignment horizontal="center"/>
    </xf>
    <xf numFmtId="198" fontId="12" fillId="5" borderId="8" xfId="0" applyNumberFormat="1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/>
    </xf>
    <xf numFmtId="4" fontId="15" fillId="5" borderId="7" xfId="0" applyNumberFormat="1" applyFont="1" applyFill="1" applyBorder="1" applyAlignment="1">
      <alignment horizontal="center"/>
    </xf>
    <xf numFmtId="0" fontId="36" fillId="5" borderId="0" xfId="0" applyFont="1" applyFill="1" applyBorder="1" applyAlignment="1">
      <alignment horizontal="center"/>
    </xf>
    <xf numFmtId="12" fontId="36" fillId="5" borderId="0" xfId="0" applyNumberFormat="1" applyFont="1" applyFill="1" applyBorder="1" applyAlignment="1">
      <alignment horizontal="center"/>
    </xf>
    <xf numFmtId="0" fontId="0" fillId="5" borderId="34" xfId="0" applyFill="1" applyBorder="1"/>
    <xf numFmtId="0" fontId="6" fillId="5" borderId="34" xfId="0" applyFont="1" applyFill="1" applyBorder="1"/>
    <xf numFmtId="0" fontId="0" fillId="5" borderId="34" xfId="0" applyFill="1" applyBorder="1" applyAlignment="1">
      <alignment horizontal="center"/>
    </xf>
    <xf numFmtId="0" fontId="0" fillId="5" borderId="33" xfId="0" applyFill="1" applyBorder="1"/>
    <xf numFmtId="0" fontId="6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1" fillId="5" borderId="23" xfId="0" applyFont="1" applyFill="1" applyBorder="1" applyAlignment="1">
      <alignment horizontal="center" vertical="center"/>
    </xf>
    <xf numFmtId="0" fontId="24" fillId="5" borderId="24" xfId="0" applyFont="1" applyFill="1" applyBorder="1" applyAlignment="1">
      <alignment horizontal="center" vertical="center"/>
    </xf>
    <xf numFmtId="0" fontId="32" fillId="5" borderId="26" xfId="0" applyFont="1" applyFill="1" applyBorder="1" applyAlignment="1">
      <alignment horizontal="center" vertical="center"/>
    </xf>
    <xf numFmtId="43" fontId="1" fillId="5" borderId="23" xfId="1" applyFont="1" applyFill="1" applyBorder="1" applyAlignment="1">
      <alignment horizontal="center"/>
    </xf>
    <xf numFmtId="0" fontId="24" fillId="5" borderId="19" xfId="0" applyFont="1" applyFill="1" applyBorder="1" applyAlignment="1">
      <alignment horizontal="center" vertical="center"/>
    </xf>
    <xf numFmtId="0" fontId="32" fillId="5" borderId="17" xfId="0" applyFont="1" applyFill="1" applyBorder="1" applyAlignment="1">
      <alignment horizontal="center" vertical="center"/>
    </xf>
    <xf numFmtId="43" fontId="1" fillId="5" borderId="16" xfId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2" fontId="32" fillId="5" borderId="10" xfId="0" applyNumberFormat="1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24" fillId="5" borderId="20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center" vertical="center"/>
    </xf>
    <xf numFmtId="43" fontId="1" fillId="5" borderId="21" xfId="1" applyFont="1" applyFill="1" applyBorder="1" applyAlignment="1">
      <alignment horizontal="center"/>
    </xf>
    <xf numFmtId="0" fontId="17" fillId="11" borderId="45" xfId="0" applyFont="1" applyFill="1" applyBorder="1" applyAlignment="1">
      <alignment horizontal="center"/>
    </xf>
    <xf numFmtId="0" fontId="34" fillId="5" borderId="28" xfId="0" applyFont="1" applyFill="1" applyBorder="1" applyAlignment="1">
      <alignment horizontal="center"/>
    </xf>
    <xf numFmtId="0" fontId="34" fillId="5" borderId="8" xfId="0" applyFont="1" applyFill="1" applyBorder="1" applyAlignment="1">
      <alignment horizontal="center"/>
    </xf>
    <xf numFmtId="0" fontId="34" fillId="5" borderId="4" xfId="0" applyFont="1" applyFill="1" applyBorder="1" applyAlignment="1">
      <alignment horizontal="center"/>
    </xf>
    <xf numFmtId="0" fontId="1" fillId="5" borderId="40" xfId="0" applyFont="1" applyFill="1" applyBorder="1"/>
    <xf numFmtId="0" fontId="17" fillId="11" borderId="43" xfId="0" applyFont="1" applyFill="1" applyBorder="1" applyAlignment="1">
      <alignment horizontal="center"/>
    </xf>
    <xf numFmtId="189" fontId="21" fillId="11" borderId="43" xfId="0" applyNumberFormat="1" applyFont="1" applyFill="1" applyBorder="1" applyAlignment="1">
      <alignment horizontal="center"/>
    </xf>
    <xf numFmtId="0" fontId="1" fillId="5" borderId="38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1" fillId="5" borderId="50" xfId="0" applyFont="1" applyFill="1" applyBorder="1" applyAlignment="1">
      <alignment horizontal="center"/>
    </xf>
    <xf numFmtId="0" fontId="4" fillId="5" borderId="34" xfId="0" applyFont="1" applyFill="1" applyBorder="1" applyAlignment="1">
      <alignment vertical="center"/>
    </xf>
    <xf numFmtId="0" fontId="4" fillId="5" borderId="0" xfId="0" applyFont="1" applyFill="1" applyBorder="1" applyAlignment="1">
      <alignment vertical="center"/>
    </xf>
    <xf numFmtId="43" fontId="15" fillId="5" borderId="7" xfId="1" applyFont="1" applyFill="1" applyBorder="1" applyAlignment="1">
      <alignment horizontal="center"/>
    </xf>
    <xf numFmtId="0" fontId="18" fillId="5" borderId="6" xfId="0" applyFont="1" applyFill="1" applyBorder="1" applyAlignment="1" applyProtection="1">
      <alignment horizontal="center"/>
      <protection locked="0"/>
    </xf>
    <xf numFmtId="188" fontId="18" fillId="5" borderId="39" xfId="0" applyNumberFormat="1" applyFont="1" applyFill="1" applyBorder="1" applyAlignment="1" applyProtection="1">
      <alignment horizontal="center"/>
      <protection locked="0"/>
    </xf>
    <xf numFmtId="188" fontId="18" fillId="5" borderId="40" xfId="0" applyNumberFormat="1" applyFont="1" applyFill="1" applyBorder="1" applyAlignment="1" applyProtection="1">
      <alignment horizontal="center"/>
      <protection locked="0"/>
    </xf>
    <xf numFmtId="188" fontId="18" fillId="5" borderId="14" xfId="0" applyNumberFormat="1" applyFont="1" applyFill="1" applyBorder="1" applyAlignment="1" applyProtection="1">
      <alignment horizontal="center"/>
      <protection locked="0"/>
    </xf>
    <xf numFmtId="188" fontId="18" fillId="5" borderId="6" xfId="0" applyNumberFormat="1" applyFont="1" applyFill="1" applyBorder="1" applyAlignment="1" applyProtection="1">
      <alignment horizontal="center"/>
      <protection locked="0"/>
    </xf>
    <xf numFmtId="192" fontId="18" fillId="5" borderId="40" xfId="0" applyNumberFormat="1" applyFont="1" applyFill="1" applyBorder="1" applyAlignment="1" applyProtection="1">
      <alignment horizontal="center"/>
      <protection locked="0"/>
    </xf>
    <xf numFmtId="191" fontId="18" fillId="5" borderId="6" xfId="0" applyNumberFormat="1" applyFont="1" applyFill="1" applyBorder="1" applyAlignment="1" applyProtection="1">
      <alignment horizontal="center"/>
      <protection locked="0"/>
    </xf>
    <xf numFmtId="192" fontId="18" fillId="5" borderId="38" xfId="0" applyNumberFormat="1" applyFont="1" applyFill="1" applyBorder="1" applyAlignment="1" applyProtection="1">
      <alignment horizontal="center"/>
      <protection locked="0"/>
    </xf>
    <xf numFmtId="199" fontId="16" fillId="5" borderId="8" xfId="0" applyNumberFormat="1" applyFont="1" applyFill="1" applyBorder="1" applyAlignment="1" applyProtection="1">
      <alignment horizontal="center"/>
      <protection locked="0"/>
    </xf>
    <xf numFmtId="0" fontId="0" fillId="5" borderId="67" xfId="0" applyFill="1" applyBorder="1"/>
    <xf numFmtId="0" fontId="3" fillId="11" borderId="44" xfId="0" applyFont="1" applyFill="1" applyBorder="1" applyAlignment="1">
      <alignment horizontal="center"/>
    </xf>
    <xf numFmtId="0" fontId="3" fillId="11" borderId="51" xfId="0" applyFont="1" applyFill="1" applyBorder="1" applyAlignment="1">
      <alignment horizontal="center"/>
    </xf>
    <xf numFmtId="0" fontId="3" fillId="11" borderId="60" xfId="0" applyFont="1" applyFill="1" applyBorder="1" applyAlignment="1">
      <alignment horizontal="center"/>
    </xf>
    <xf numFmtId="0" fontId="0" fillId="5" borderId="68" xfId="0" applyFill="1" applyBorder="1"/>
    <xf numFmtId="0" fontId="0" fillId="5" borderId="54" xfId="0" applyFill="1" applyBorder="1"/>
    <xf numFmtId="0" fontId="24" fillId="5" borderId="55" xfId="0" applyFont="1" applyFill="1" applyBorder="1" applyAlignment="1">
      <alignment horizontal="center"/>
    </xf>
    <xf numFmtId="0" fontId="39" fillId="10" borderId="0" xfId="0" applyFont="1" applyFill="1" applyBorder="1" applyAlignment="1">
      <alignment horizontal="center"/>
    </xf>
    <xf numFmtId="0" fontId="0" fillId="5" borderId="69" xfId="0" applyFill="1" applyBorder="1"/>
    <xf numFmtId="0" fontId="0" fillId="5" borderId="52" xfId="0" applyFill="1" applyBorder="1"/>
    <xf numFmtId="0" fontId="0" fillId="5" borderId="70" xfId="0" applyFill="1" applyBorder="1"/>
    <xf numFmtId="0" fontId="6" fillId="5" borderId="67" xfId="0" applyFont="1" applyFill="1" applyBorder="1"/>
    <xf numFmtId="0" fontId="6" fillId="5" borderId="54" xfId="0" applyFont="1" applyFill="1" applyBorder="1"/>
    <xf numFmtId="0" fontId="6" fillId="5" borderId="0" xfId="0" applyFont="1" applyFill="1" applyBorder="1"/>
    <xf numFmtId="0" fontId="6" fillId="5" borderId="69" xfId="0" applyFont="1" applyFill="1" applyBorder="1"/>
    <xf numFmtId="0" fontId="13" fillId="5" borderId="0" xfId="0" applyFont="1" applyFill="1" applyBorder="1" applyAlignment="1">
      <alignment horizontal="center" vertical="center"/>
    </xf>
    <xf numFmtId="200" fontId="1" fillId="5" borderId="0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2" fillId="5" borderId="0" xfId="0" applyFont="1" applyFill="1" applyBorder="1" applyAlignment="1">
      <alignment horizontal="center" vertical="center"/>
    </xf>
    <xf numFmtId="43" fontId="1" fillId="5" borderId="0" xfId="1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0" fontId="9" fillId="11" borderId="66" xfId="0" applyFont="1" applyFill="1" applyBorder="1" applyAlignment="1">
      <alignment horizontal="center"/>
    </xf>
    <xf numFmtId="0" fontId="3" fillId="11" borderId="72" xfId="0" applyFont="1" applyFill="1" applyBorder="1" applyAlignment="1">
      <alignment horizontal="center"/>
    </xf>
    <xf numFmtId="43" fontId="1" fillId="5" borderId="76" xfId="1" applyFont="1" applyFill="1" applyBorder="1" applyAlignment="1">
      <alignment horizontal="center"/>
    </xf>
    <xf numFmtId="0" fontId="34" fillId="5" borderId="77" xfId="0" applyFont="1" applyFill="1" applyBorder="1" applyAlignment="1">
      <alignment horizontal="center"/>
    </xf>
    <xf numFmtId="4" fontId="12" fillId="5" borderId="77" xfId="0" applyNumberFormat="1" applyFont="1" applyFill="1" applyBorder="1" applyAlignment="1">
      <alignment horizontal="center"/>
    </xf>
    <xf numFmtId="197" fontId="12" fillId="5" borderId="77" xfId="0" applyNumberFormat="1" applyFont="1" applyFill="1" applyBorder="1" applyAlignment="1">
      <alignment horizontal="center"/>
    </xf>
    <xf numFmtId="197" fontId="15" fillId="5" borderId="7" xfId="0" applyNumberFormat="1" applyFont="1" applyFill="1" applyBorder="1" applyAlignment="1">
      <alignment horizontal="center"/>
    </xf>
    <xf numFmtId="43" fontId="34" fillId="5" borderId="78" xfId="1" applyFont="1" applyFill="1" applyBorder="1" applyAlignment="1">
      <alignment horizontal="center"/>
    </xf>
    <xf numFmtId="43" fontId="44" fillId="5" borderId="22" xfId="1" applyFont="1" applyFill="1" applyBorder="1" applyAlignment="1">
      <alignment horizontal="center"/>
    </xf>
    <xf numFmtId="0" fontId="15" fillId="11" borderId="3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43" fontId="1" fillId="0" borderId="0" xfId="1" applyFont="1" applyFill="1" applyBorder="1" applyAlignment="1">
      <alignment horizontal="center"/>
    </xf>
    <xf numFmtId="0" fontId="0" fillId="0" borderId="0" xfId="0" applyFill="1" applyBorder="1"/>
    <xf numFmtId="203" fontId="0" fillId="5" borderId="0" xfId="0" applyNumberFormat="1" applyFill="1" applyBorder="1" applyAlignment="1">
      <alignment horizontal="left"/>
    </xf>
    <xf numFmtId="0" fontId="1" fillId="0" borderId="82" xfId="0" applyFont="1" applyFill="1" applyBorder="1" applyAlignment="1">
      <alignment horizontal="left"/>
    </xf>
    <xf numFmtId="0" fontId="24" fillId="0" borderId="83" xfId="0" applyFont="1" applyFill="1" applyBorder="1" applyAlignment="1">
      <alignment horizontal="center"/>
    </xf>
    <xf numFmtId="0" fontId="1" fillId="0" borderId="84" xfId="0" applyFont="1" applyFill="1" applyBorder="1" applyAlignment="1">
      <alignment horizontal="left"/>
    </xf>
    <xf numFmtId="0" fontId="24" fillId="0" borderId="85" xfId="0" applyFont="1" applyFill="1" applyBorder="1" applyAlignment="1">
      <alignment horizontal="center"/>
    </xf>
    <xf numFmtId="0" fontId="1" fillId="0" borderId="86" xfId="0" applyFont="1" applyFill="1" applyBorder="1" applyAlignment="1">
      <alignment horizontal="left"/>
    </xf>
    <xf numFmtId="0" fontId="24" fillId="0" borderId="87" xfId="0" applyFont="1" applyFill="1" applyBorder="1" applyAlignment="1">
      <alignment horizontal="center"/>
    </xf>
    <xf numFmtId="0" fontId="1" fillId="0" borderId="79" xfId="0" applyFont="1" applyFill="1" applyBorder="1" applyAlignment="1">
      <alignment horizontal="left"/>
    </xf>
    <xf numFmtId="0" fontId="24" fillId="0" borderId="81" xfId="0" applyFont="1" applyFill="1" applyBorder="1" applyAlignment="1">
      <alignment horizontal="center"/>
    </xf>
    <xf numFmtId="43" fontId="1" fillId="0" borderId="81" xfId="1" applyFont="1" applyFill="1" applyBorder="1" applyAlignment="1">
      <alignment horizontal="center"/>
    </xf>
    <xf numFmtId="43" fontId="1" fillId="0" borderId="83" xfId="1" applyFont="1" applyFill="1" applyBorder="1" applyAlignment="1">
      <alignment horizontal="center"/>
    </xf>
    <xf numFmtId="43" fontId="1" fillId="0" borderId="87" xfId="1" applyFont="1" applyFill="1" applyBorder="1" applyAlignment="1">
      <alignment horizontal="center"/>
    </xf>
    <xf numFmtId="43" fontId="1" fillId="0" borderId="89" xfId="1" applyFont="1" applyFill="1" applyBorder="1" applyAlignment="1">
      <alignment horizontal="center"/>
    </xf>
    <xf numFmtId="203" fontId="0" fillId="14" borderId="54" xfId="0" applyNumberFormat="1" applyFill="1" applyBorder="1" applyAlignment="1">
      <alignment horizontal="left"/>
    </xf>
    <xf numFmtId="0" fontId="0" fillId="14" borderId="0" xfId="0" applyFill="1" applyBorder="1"/>
    <xf numFmtId="0" fontId="0" fillId="14" borderId="90" xfId="0" applyFill="1" applyBorder="1"/>
    <xf numFmtId="203" fontId="0" fillId="14" borderId="91" xfId="0" applyNumberFormat="1" applyFill="1" applyBorder="1" applyAlignment="1">
      <alignment horizontal="left"/>
    </xf>
    <xf numFmtId="0" fontId="0" fillId="14" borderId="92" xfId="0" applyFill="1" applyBorder="1"/>
    <xf numFmtId="203" fontId="0" fillId="14" borderId="94" xfId="0" applyNumberFormat="1" applyFill="1" applyBorder="1" applyAlignment="1">
      <alignment horizontal="left"/>
    </xf>
    <xf numFmtId="203" fontId="0" fillId="14" borderId="96" xfId="0" applyNumberFormat="1" applyFill="1" applyBorder="1" applyAlignment="1">
      <alignment horizontal="left"/>
    </xf>
    <xf numFmtId="203" fontId="0" fillId="14" borderId="98" xfId="0" applyNumberFormat="1" applyFill="1" applyBorder="1" applyAlignment="1">
      <alignment horizontal="left"/>
    </xf>
    <xf numFmtId="203" fontId="0" fillId="14" borderId="100" xfId="0" applyNumberFormat="1" applyFill="1" applyBorder="1" applyAlignment="1">
      <alignment horizontal="left"/>
    </xf>
    <xf numFmtId="0" fontId="0" fillId="14" borderId="101" xfId="0" applyFill="1" applyBorder="1"/>
    <xf numFmtId="204" fontId="0" fillId="14" borderId="93" xfId="0" applyNumberFormat="1" applyFill="1" applyBorder="1"/>
    <xf numFmtId="204" fontId="0" fillId="14" borderId="95" xfId="0" applyNumberFormat="1" applyFill="1" applyBorder="1"/>
    <xf numFmtId="204" fontId="0" fillId="14" borderId="97" xfId="0" applyNumberFormat="1" applyFill="1" applyBorder="1"/>
    <xf numFmtId="204" fontId="0" fillId="14" borderId="99" xfId="0" applyNumberFormat="1" applyFill="1" applyBorder="1"/>
    <xf numFmtId="204" fontId="0" fillId="14" borderId="55" xfId="0" applyNumberFormat="1" applyFill="1" applyBorder="1"/>
    <xf numFmtId="204" fontId="0" fillId="14" borderId="102" xfId="0" applyNumberFormat="1" applyFill="1" applyBorder="1" applyAlignment="1"/>
    <xf numFmtId="205" fontId="0" fillId="5" borderId="0" xfId="0" applyNumberFormat="1" applyFill="1" applyBorder="1"/>
    <xf numFmtId="0" fontId="35" fillId="5" borderId="49" xfId="0" applyFont="1" applyFill="1" applyBorder="1" applyAlignment="1" applyProtection="1">
      <alignment horizontal="center"/>
      <protection locked="0"/>
    </xf>
    <xf numFmtId="0" fontId="35" fillId="5" borderId="47" xfId="0" applyFont="1" applyFill="1" applyBorder="1" applyAlignment="1" applyProtection="1">
      <alignment horizontal="center"/>
      <protection locked="0"/>
    </xf>
    <xf numFmtId="0" fontId="35" fillId="5" borderId="7" xfId="0" applyFont="1" applyFill="1" applyBorder="1" applyAlignment="1" applyProtection="1">
      <alignment horizontal="center"/>
      <protection locked="0"/>
    </xf>
    <xf numFmtId="197" fontId="12" fillId="5" borderId="12" xfId="0" applyNumberFormat="1" applyFont="1" applyFill="1" applyBorder="1" applyAlignment="1">
      <alignment horizontal="center"/>
    </xf>
    <xf numFmtId="2" fontId="15" fillId="5" borderId="7" xfId="1" applyNumberFormat="1" applyFont="1" applyFill="1" applyBorder="1" applyAlignment="1">
      <alignment horizontal="center"/>
    </xf>
    <xf numFmtId="197" fontId="12" fillId="5" borderId="4" xfId="0" applyNumberFormat="1" applyFont="1" applyFill="1" applyBorder="1" applyAlignment="1">
      <alignment horizontal="center"/>
    </xf>
    <xf numFmtId="198" fontId="1" fillId="5" borderId="73" xfId="0" applyNumberFormat="1" applyFont="1" applyFill="1" applyBorder="1" applyAlignment="1">
      <alignment horizontal="center"/>
    </xf>
    <xf numFmtId="198" fontId="1" fillId="5" borderId="74" xfId="0" applyNumberFormat="1" applyFont="1" applyFill="1" applyBorder="1" applyAlignment="1">
      <alignment horizontal="center"/>
    </xf>
    <xf numFmtId="198" fontId="1" fillId="5" borderId="15" xfId="0" applyNumberFormat="1" applyFont="1" applyFill="1" applyBorder="1" applyAlignment="1">
      <alignment horizontal="center"/>
    </xf>
    <xf numFmtId="198" fontId="1" fillId="5" borderId="71" xfId="0" applyNumberFormat="1" applyFont="1" applyFill="1" applyBorder="1" applyAlignment="1">
      <alignment horizontal="center"/>
    </xf>
    <xf numFmtId="198" fontId="1" fillId="5" borderId="75" xfId="0" applyNumberFormat="1" applyFont="1" applyFill="1" applyBorder="1" applyAlignment="1">
      <alignment horizontal="center"/>
    </xf>
    <xf numFmtId="198" fontId="1" fillId="5" borderId="103" xfId="0" applyNumberFormat="1" applyFont="1" applyFill="1" applyBorder="1" applyAlignment="1">
      <alignment horizontal="center"/>
    </xf>
    <xf numFmtId="0" fontId="35" fillId="5" borderId="15" xfId="0" applyFont="1" applyFill="1" applyBorder="1" applyAlignment="1">
      <alignment horizontal="center"/>
    </xf>
    <xf numFmtId="197" fontId="12" fillId="5" borderId="11" xfId="0" applyNumberFormat="1" applyFont="1" applyFill="1" applyBorder="1" applyAlignment="1">
      <alignment horizontal="center"/>
    </xf>
    <xf numFmtId="0" fontId="47" fillId="0" borderId="0" xfId="0" applyFont="1"/>
    <xf numFmtId="0" fontId="24" fillId="9" borderId="82" xfId="0" applyFont="1" applyFill="1" applyBorder="1" applyAlignment="1">
      <alignment vertical="center"/>
    </xf>
    <xf numFmtId="0" fontId="24" fillId="9" borderId="88" xfId="0" applyFont="1" applyFill="1" applyBorder="1" applyAlignment="1">
      <alignment vertical="center"/>
    </xf>
    <xf numFmtId="0" fontId="24" fillId="9" borderId="84" xfId="0" applyFont="1" applyFill="1" applyBorder="1" applyAlignment="1">
      <alignment vertical="center"/>
    </xf>
    <xf numFmtId="0" fontId="24" fillId="9" borderId="0" xfId="0" applyFont="1" applyFill="1" applyBorder="1" applyAlignment="1">
      <alignment vertical="center"/>
    </xf>
    <xf numFmtId="0" fontId="24" fillId="9" borderId="86" xfId="0" applyFont="1" applyFill="1" applyBorder="1" applyAlignment="1">
      <alignment vertical="center"/>
    </xf>
    <xf numFmtId="0" fontId="24" fillId="9" borderId="89" xfId="0" applyFont="1" applyFill="1" applyBorder="1" applyAlignment="1">
      <alignment vertical="center"/>
    </xf>
    <xf numFmtId="0" fontId="24" fillId="16" borderId="82" xfId="0" applyFont="1" applyFill="1" applyBorder="1" applyAlignment="1">
      <alignment vertical="center"/>
    </xf>
    <xf numFmtId="0" fontId="24" fillId="16" borderId="83" xfId="0" applyFont="1" applyFill="1" applyBorder="1" applyAlignment="1">
      <alignment vertical="center"/>
    </xf>
    <xf numFmtId="0" fontId="24" fillId="16" borderId="86" xfId="0" applyFont="1" applyFill="1" applyBorder="1" applyAlignment="1">
      <alignment vertical="center"/>
    </xf>
    <xf numFmtId="0" fontId="24" fillId="16" borderId="87" xfId="0" applyFont="1" applyFill="1" applyBorder="1" applyAlignment="1">
      <alignment vertical="center"/>
    </xf>
    <xf numFmtId="0" fontId="24" fillId="13" borderId="82" xfId="0" applyFont="1" applyFill="1" applyBorder="1" applyAlignment="1">
      <alignment vertical="center"/>
    </xf>
    <xf numFmtId="0" fontId="24" fillId="13" borderId="104" xfId="0" applyFont="1" applyFill="1" applyBorder="1" applyAlignment="1">
      <alignment vertical="center"/>
    </xf>
    <xf numFmtId="0" fontId="24" fillId="13" borderId="86" xfId="0" applyFont="1" applyFill="1" applyBorder="1" applyAlignment="1">
      <alignment vertical="center"/>
    </xf>
    <xf numFmtId="0" fontId="24" fillId="13" borderId="105" xfId="0" applyFont="1" applyFill="1" applyBorder="1" applyAlignment="1">
      <alignment vertical="center"/>
    </xf>
    <xf numFmtId="0" fontId="46" fillId="5" borderId="82" xfId="0" applyFont="1" applyFill="1" applyBorder="1" applyAlignment="1">
      <alignment vertical="center"/>
    </xf>
    <xf numFmtId="0" fontId="46" fillId="5" borderId="83" xfId="0" applyFont="1" applyFill="1" applyBorder="1" applyAlignment="1">
      <alignment vertical="center"/>
    </xf>
    <xf numFmtId="0" fontId="46" fillId="5" borderId="84" xfId="0" applyFont="1" applyFill="1" applyBorder="1" applyAlignment="1">
      <alignment vertical="center"/>
    </xf>
    <xf numFmtId="0" fontId="46" fillId="5" borderId="85" xfId="0" applyFont="1" applyFill="1" applyBorder="1" applyAlignment="1">
      <alignment vertical="center"/>
    </xf>
    <xf numFmtId="0" fontId="46" fillId="5" borderId="86" xfId="0" applyFont="1" applyFill="1" applyBorder="1" applyAlignment="1">
      <alignment vertical="center"/>
    </xf>
    <xf numFmtId="0" fontId="46" fillId="5" borderId="87" xfId="0" applyFont="1" applyFill="1" applyBorder="1" applyAlignment="1">
      <alignment vertical="center"/>
    </xf>
    <xf numFmtId="203" fontId="0" fillId="5" borderId="54" xfId="0" applyNumberFormat="1" applyFill="1" applyBorder="1" applyAlignment="1"/>
    <xf numFmtId="206" fontId="0" fillId="0" borderId="0" xfId="0" applyNumberFormat="1"/>
    <xf numFmtId="0" fontId="0" fillId="0" borderId="0" xfId="0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2" fillId="0" borderId="0" xfId="0" applyFont="1" applyBorder="1" applyAlignment="1">
      <alignment horizontal="center"/>
    </xf>
    <xf numFmtId="0" fontId="8" fillId="0" borderId="0" xfId="0" applyFont="1" applyBorder="1" applyAlignment="1"/>
    <xf numFmtId="0" fontId="49" fillId="0" borderId="0" xfId="0" applyFont="1" applyAlignment="1">
      <alignment horizontal="center"/>
    </xf>
    <xf numFmtId="192" fontId="0" fillId="0" borderId="0" xfId="0" applyNumberFormat="1"/>
    <xf numFmtId="207" fontId="0" fillId="0" borderId="0" xfId="0" applyNumberFormat="1"/>
    <xf numFmtId="200" fontId="1" fillId="5" borderId="27" xfId="0" applyNumberFormat="1" applyFont="1" applyFill="1" applyBorder="1" applyAlignment="1">
      <alignment horizontal="center" vertical="center"/>
    </xf>
    <xf numFmtId="200" fontId="1" fillId="5" borderId="109" xfId="0" applyNumberFormat="1" applyFont="1" applyFill="1" applyBorder="1" applyAlignment="1">
      <alignment horizontal="center" vertical="center"/>
    </xf>
    <xf numFmtId="200" fontId="1" fillId="5" borderId="15" xfId="0" applyNumberFormat="1" applyFont="1" applyFill="1" applyBorder="1" applyAlignment="1">
      <alignment horizontal="center" vertical="center"/>
    </xf>
    <xf numFmtId="0" fontId="1" fillId="5" borderId="110" xfId="0" applyNumberFormat="1" applyFont="1" applyFill="1" applyBorder="1" applyAlignment="1">
      <alignment horizontal="center" vertical="center"/>
    </xf>
    <xf numFmtId="0" fontId="13" fillId="5" borderId="111" xfId="0" applyFont="1" applyFill="1" applyBorder="1" applyAlignment="1">
      <alignment horizontal="center" vertical="center"/>
    </xf>
    <xf numFmtId="0" fontId="13" fillId="5" borderId="112" xfId="0" applyFont="1" applyFill="1" applyBorder="1" applyAlignment="1">
      <alignment horizontal="center" vertical="center"/>
    </xf>
    <xf numFmtId="0" fontId="13" fillId="5" borderId="113" xfId="0" applyFont="1" applyFill="1" applyBorder="1" applyAlignment="1">
      <alignment horizontal="center" vertical="center"/>
    </xf>
    <xf numFmtId="0" fontId="56" fillId="5" borderId="47" xfId="0" applyFont="1" applyFill="1" applyBorder="1" applyAlignment="1">
      <alignment horizontal="center"/>
    </xf>
    <xf numFmtId="0" fontId="56" fillId="5" borderId="4" xfId="0" applyFont="1" applyFill="1" applyBorder="1" applyAlignment="1">
      <alignment horizontal="center"/>
    </xf>
    <xf numFmtId="0" fontId="56" fillId="5" borderId="28" xfId="0" applyFont="1" applyFill="1" applyBorder="1" applyAlignment="1">
      <alignment horizontal="center"/>
    </xf>
    <xf numFmtId="0" fontId="56" fillId="5" borderId="8" xfId="0" applyFont="1" applyFill="1" applyBorder="1" applyAlignment="1">
      <alignment horizontal="center"/>
    </xf>
    <xf numFmtId="0" fontId="56" fillId="5" borderId="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3" fillId="5" borderId="30" xfId="0" applyFont="1" applyFill="1" applyBorder="1"/>
    <xf numFmtId="0" fontId="0" fillId="0" borderId="7" xfId="0" applyBorder="1"/>
    <xf numFmtId="195" fontId="0" fillId="0" borderId="5" xfId="0" applyNumberFormat="1" applyBorder="1"/>
    <xf numFmtId="195" fontId="0" fillId="0" borderId="7" xfId="0" applyNumberFormat="1" applyBorder="1"/>
    <xf numFmtId="195" fontId="0" fillId="0" borderId="3" xfId="0" applyNumberFormat="1" applyBorder="1"/>
    <xf numFmtId="195" fontId="0" fillId="0" borderId="5" xfId="0" applyNumberFormat="1" applyBorder="1" applyAlignment="1">
      <alignment horizontal="center"/>
    </xf>
    <xf numFmtId="195" fontId="0" fillId="0" borderId="3" xfId="0" applyNumberFormat="1" applyBorder="1" applyAlignment="1">
      <alignment horizontal="center" vertical="center"/>
    </xf>
    <xf numFmtId="0" fontId="0" fillId="5" borderId="0" xfId="0" applyFill="1" applyAlignment="1"/>
    <xf numFmtId="0" fontId="0" fillId="5" borderId="31" xfId="0" applyFill="1" applyBorder="1" applyAlignment="1"/>
    <xf numFmtId="197" fontId="12" fillId="5" borderId="7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13" fontId="5" fillId="0" borderId="0" xfId="0" applyNumberFormat="1" applyFont="1"/>
    <xf numFmtId="0" fontId="5" fillId="11" borderId="3" xfId="0" applyFont="1" applyFill="1" applyBorder="1" applyAlignment="1">
      <alignment horizontal="center"/>
    </xf>
    <xf numFmtId="0" fontId="5" fillId="11" borderId="3" xfId="0" applyFont="1" applyFill="1" applyBorder="1"/>
    <xf numFmtId="0" fontId="0" fillId="11" borderId="3" xfId="0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4" fillId="5" borderId="0" xfId="0" applyFont="1" applyFill="1" applyBorder="1"/>
    <xf numFmtId="198" fontId="1" fillId="5" borderId="3" xfId="0" applyNumberFormat="1" applyFont="1" applyFill="1" applyBorder="1" applyAlignment="1">
      <alignment horizontal="center"/>
    </xf>
    <xf numFmtId="0" fontId="5" fillId="11" borderId="106" xfId="0" applyFont="1" applyFill="1" applyBorder="1"/>
    <xf numFmtId="0" fontId="5" fillId="11" borderId="30" xfId="0" applyFont="1" applyFill="1" applyBorder="1"/>
    <xf numFmtId="0" fontId="5" fillId="11" borderId="13" xfId="0" applyFont="1" applyFill="1" applyBorder="1"/>
    <xf numFmtId="43" fontId="66" fillId="5" borderId="0" xfId="1" applyFont="1" applyFill="1" applyBorder="1" applyAlignment="1">
      <alignment vertical="center"/>
    </xf>
    <xf numFmtId="43" fontId="52" fillId="5" borderId="4" xfId="1" applyFont="1" applyFill="1" applyBorder="1" applyAlignment="1">
      <alignment horizontal="center"/>
    </xf>
    <xf numFmtId="43" fontId="52" fillId="5" borderId="3" xfId="1" applyFont="1" applyFill="1" applyBorder="1" applyAlignment="1">
      <alignment horizontal="center"/>
    </xf>
    <xf numFmtId="206" fontId="0" fillId="5" borderId="0" xfId="0" applyNumberFormat="1" applyFill="1"/>
    <xf numFmtId="0" fontId="5" fillId="5" borderId="3" xfId="0" applyFont="1" applyFill="1" applyBorder="1" applyAlignment="1">
      <alignment horizontal="center"/>
    </xf>
    <xf numFmtId="0" fontId="3" fillId="5" borderId="51" xfId="0" applyFont="1" applyFill="1" applyBorder="1" applyAlignment="1">
      <alignment horizontal="center"/>
    </xf>
    <xf numFmtId="0" fontId="9" fillId="5" borderId="66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vertical="center"/>
    </xf>
    <xf numFmtId="210" fontId="0" fillId="5" borderId="0" xfId="1" applyNumberFormat="1" applyFont="1" applyFill="1"/>
    <xf numFmtId="210" fontId="0" fillId="5" borderId="0" xfId="1" applyNumberFormat="1" applyFont="1" applyFill="1" applyAlignment="1">
      <alignment horizontal="center"/>
    </xf>
    <xf numFmtId="214" fontId="0" fillId="5" borderId="0" xfId="0" applyNumberFormat="1" applyFill="1"/>
    <xf numFmtId="215" fontId="0" fillId="5" borderId="0" xfId="0" applyNumberFormat="1" applyFill="1" applyAlignment="1">
      <alignment horizontal="right"/>
    </xf>
    <xf numFmtId="0" fontId="0" fillId="5" borderId="0" xfId="0" applyFill="1" applyAlignment="1">
      <alignment horizontal="left"/>
    </xf>
    <xf numFmtId="216" fontId="0" fillId="5" borderId="0" xfId="0" applyNumberFormat="1" applyFill="1"/>
    <xf numFmtId="0" fontId="1" fillId="5" borderId="3" xfId="0" applyFont="1" applyFill="1" applyBorder="1"/>
    <xf numFmtId="0" fontId="0" fillId="5" borderId="3" xfId="0" applyFill="1" applyBorder="1" applyAlignment="1">
      <alignment horizontal="center"/>
    </xf>
    <xf numFmtId="0" fontId="1" fillId="5" borderId="0" xfId="0" applyFont="1" applyFill="1"/>
    <xf numFmtId="0" fontId="0" fillId="5" borderId="0" xfId="0" applyFont="1" applyFill="1" applyAlignment="1">
      <alignment horizontal="right"/>
    </xf>
    <xf numFmtId="0" fontId="49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0" fontId="0" fillId="5" borderId="0" xfId="0" applyFont="1" applyFill="1"/>
    <xf numFmtId="0" fontId="0" fillId="5" borderId="0" xfId="0" applyFont="1" applyFill="1" applyBorder="1" applyAlignment="1">
      <alignment horizontal="right"/>
    </xf>
    <xf numFmtId="0" fontId="0" fillId="5" borderId="0" xfId="0" applyFont="1" applyFill="1" applyBorder="1" applyAlignment="1">
      <alignment horizontal="center"/>
    </xf>
    <xf numFmtId="0" fontId="52" fillId="5" borderId="0" xfId="0" applyFont="1" applyFill="1" applyBorder="1" applyAlignment="1">
      <alignment horizontal="center"/>
    </xf>
    <xf numFmtId="0" fontId="58" fillId="5" borderId="0" xfId="0" applyFont="1" applyFill="1" applyAlignment="1">
      <alignment horizontal="center"/>
    </xf>
    <xf numFmtId="0" fontId="49" fillId="5" borderId="0" xfId="0" applyFont="1" applyFill="1" applyAlignment="1"/>
    <xf numFmtId="0" fontId="1" fillId="5" borderId="13" xfId="0" applyFont="1" applyFill="1" applyBorder="1"/>
    <xf numFmtId="0" fontId="5" fillId="11" borderId="13" xfId="0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8" fillId="5" borderId="114" xfId="0" applyFont="1" applyFill="1" applyBorder="1" applyAlignment="1">
      <alignment horizontal="center"/>
    </xf>
    <xf numFmtId="0" fontId="53" fillId="5" borderId="0" xfId="0" applyFont="1" applyFill="1" applyAlignment="1">
      <alignment horizontal="left"/>
    </xf>
    <xf numFmtId="0" fontId="0" fillId="0" borderId="13" xfId="0" applyFont="1" applyBorder="1" applyAlignment="1">
      <alignment horizontal="center"/>
    </xf>
    <xf numFmtId="198" fontId="0" fillId="0" borderId="3" xfId="0" applyNumberFormat="1" applyBorder="1" applyAlignment="1">
      <alignment horizontal="center"/>
    </xf>
    <xf numFmtId="220" fontId="5" fillId="11" borderId="3" xfId="0" applyNumberFormat="1" applyFont="1" applyFill="1" applyBorder="1" applyAlignment="1">
      <alignment horizontal="center"/>
    </xf>
    <xf numFmtId="0" fontId="0" fillId="14" borderId="30" xfId="0" applyFill="1" applyBorder="1"/>
    <xf numFmtId="204" fontId="0" fillId="14" borderId="55" xfId="0" applyNumberFormat="1" applyFill="1" applyBorder="1" applyAlignment="1"/>
    <xf numFmtId="203" fontId="0" fillId="14" borderId="117" xfId="0" applyNumberFormat="1" applyFill="1" applyBorder="1" applyAlignment="1">
      <alignment horizontal="left"/>
    </xf>
    <xf numFmtId="0" fontId="0" fillId="14" borderId="45" xfId="0" applyFill="1" applyBorder="1"/>
    <xf numFmtId="204" fontId="0" fillId="14" borderId="118" xfId="0" applyNumberFormat="1" applyFill="1" applyBorder="1" applyAlignment="1"/>
    <xf numFmtId="203" fontId="0" fillId="14" borderId="119" xfId="0" applyNumberFormat="1" applyFill="1" applyBorder="1" applyAlignment="1">
      <alignment horizontal="left"/>
    </xf>
    <xf numFmtId="204" fontId="0" fillId="14" borderId="120" xfId="0" applyNumberFormat="1" applyFill="1" applyBorder="1" applyAlignment="1"/>
    <xf numFmtId="203" fontId="0" fillId="14" borderId="121" xfId="0" applyNumberFormat="1" applyFill="1" applyBorder="1" applyAlignment="1">
      <alignment horizontal="left"/>
    </xf>
    <xf numFmtId="204" fontId="0" fillId="14" borderId="122" xfId="0" applyNumberFormat="1" applyFill="1" applyBorder="1" applyAlignment="1"/>
    <xf numFmtId="203" fontId="0" fillId="14" borderId="123" xfId="0" applyNumberFormat="1" applyFill="1" applyBorder="1" applyAlignment="1">
      <alignment horizontal="left"/>
    </xf>
    <xf numFmtId="0" fontId="0" fillId="14" borderId="56" xfId="0" applyFill="1" applyBorder="1"/>
    <xf numFmtId="204" fontId="0" fillId="14" borderId="124" xfId="0" applyNumberFormat="1" applyFill="1" applyBorder="1" applyAlignment="1"/>
    <xf numFmtId="195" fontId="0" fillId="5" borderId="3" xfId="0" applyNumberFormat="1" applyFill="1" applyBorder="1" applyAlignment="1">
      <alignment horizontal="center"/>
    </xf>
    <xf numFmtId="211" fontId="18" fillId="5" borderId="15" xfId="0" applyNumberFormat="1" applyFont="1" applyFill="1" applyBorder="1" applyAlignment="1" applyProtection="1">
      <alignment horizontal="center"/>
      <protection locked="0"/>
    </xf>
    <xf numFmtId="212" fontId="18" fillId="5" borderId="15" xfId="0" applyNumberFormat="1" applyFont="1" applyFill="1" applyBorder="1" applyAlignment="1" applyProtection="1">
      <alignment horizontal="center"/>
      <protection locked="0"/>
    </xf>
    <xf numFmtId="0" fontId="57" fillId="0" borderId="3" xfId="0" applyFont="1" applyBorder="1" applyAlignment="1" applyProtection="1">
      <alignment horizontal="center"/>
      <protection locked="0"/>
    </xf>
    <xf numFmtId="0" fontId="57" fillId="0" borderId="4" xfId="0" applyFont="1" applyBorder="1" applyAlignment="1" applyProtection="1">
      <alignment horizontal="center"/>
      <protection locked="0"/>
    </xf>
    <xf numFmtId="195" fontId="57" fillId="0" borderId="5" xfId="0" applyNumberFormat="1" applyFont="1" applyBorder="1" applyProtection="1">
      <protection locked="0"/>
    </xf>
    <xf numFmtId="195" fontId="57" fillId="0" borderId="3" xfId="0" applyNumberFormat="1" applyFont="1" applyBorder="1" applyProtection="1">
      <protection locked="0"/>
    </xf>
    <xf numFmtId="0" fontId="0" fillId="5" borderId="13" xfId="0" applyFont="1" applyFill="1" applyBorder="1" applyAlignment="1">
      <alignment horizontal="center"/>
    </xf>
    <xf numFmtId="0" fontId="18" fillId="16" borderId="65" xfId="0" applyFont="1" applyFill="1" applyBorder="1" applyAlignment="1" applyProtection="1">
      <alignment horizontal="center"/>
      <protection locked="0"/>
    </xf>
    <xf numFmtId="0" fontId="18" fillId="16" borderId="32" xfId="0" applyNumberFormat="1" applyFont="1" applyFill="1" applyBorder="1" applyAlignment="1" applyProtection="1">
      <alignment horizontal="center"/>
      <protection locked="0"/>
    </xf>
    <xf numFmtId="0" fontId="18" fillId="16" borderId="35" xfId="0" applyFont="1" applyFill="1" applyBorder="1" applyAlignment="1" applyProtection="1">
      <alignment horizontal="center"/>
      <protection locked="0"/>
    </xf>
    <xf numFmtId="14" fontId="0" fillId="0" borderId="0" xfId="0" applyNumberFormat="1"/>
    <xf numFmtId="43" fontId="0" fillId="5" borderId="0" xfId="0" applyNumberFormat="1" applyFill="1" applyBorder="1"/>
    <xf numFmtId="0" fontId="8" fillId="5" borderId="0" xfId="0" applyFont="1" applyFill="1" applyBorder="1"/>
    <xf numFmtId="0" fontId="1" fillId="5" borderId="0" xfId="0" applyFont="1" applyFill="1" applyBorder="1" applyAlignment="1">
      <alignment horizontal="center"/>
    </xf>
    <xf numFmtId="221" fontId="0" fillId="0" borderId="0" xfId="0" applyNumberFormat="1"/>
    <xf numFmtId="222" fontId="0" fillId="0" borderId="0" xfId="0" applyNumberFormat="1"/>
    <xf numFmtId="0" fontId="1" fillId="5" borderId="0" xfId="0" quotePrefix="1" applyFont="1" applyFill="1" applyBorder="1" applyAlignment="1">
      <alignment horizontal="right"/>
    </xf>
    <xf numFmtId="0" fontId="18" fillId="16" borderId="128" xfId="0" applyFont="1" applyFill="1" applyBorder="1" applyAlignment="1" applyProtection="1">
      <alignment horizontal="center"/>
      <protection locked="0"/>
    </xf>
    <xf numFmtId="223" fontId="0" fillId="0" borderId="0" xfId="0" applyNumberFormat="1"/>
    <xf numFmtId="0" fontId="49" fillId="16" borderId="129" xfId="0" applyFont="1" applyFill="1" applyBorder="1" applyAlignment="1" applyProtection="1">
      <alignment horizontal="center"/>
      <protection locked="0"/>
    </xf>
    <xf numFmtId="224" fontId="0" fillId="0" borderId="0" xfId="0" applyNumberFormat="1"/>
    <xf numFmtId="0" fontId="0" fillId="5" borderId="130" xfId="0" applyFill="1" applyBorder="1" applyAlignment="1">
      <alignment vertical="center"/>
    </xf>
    <xf numFmtId="0" fontId="0" fillId="5" borderId="131" xfId="0" applyFill="1" applyBorder="1" applyAlignment="1">
      <alignment vertical="center"/>
    </xf>
    <xf numFmtId="0" fontId="0" fillId="5" borderId="132" xfId="0" applyFill="1" applyBorder="1" applyAlignment="1">
      <alignment vertical="center"/>
    </xf>
    <xf numFmtId="0" fontId="0" fillId="0" borderId="132" xfId="0" applyBorder="1"/>
    <xf numFmtId="0" fontId="0" fillId="0" borderId="13" xfId="0" applyFont="1" applyBorder="1" applyAlignment="1" applyProtection="1">
      <alignment horizontal="center"/>
      <protection locked="0"/>
    </xf>
    <xf numFmtId="0" fontId="0" fillId="23" borderId="3" xfId="0" applyFill="1" applyBorder="1"/>
    <xf numFmtId="0" fontId="57" fillId="0" borderId="3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/>
    <xf numFmtId="0" fontId="0" fillId="0" borderId="4" xfId="0" applyBorder="1"/>
    <xf numFmtId="0" fontId="5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0" fillId="0" borderId="5" xfId="0" applyBorder="1"/>
    <xf numFmtId="0" fontId="0" fillId="23" borderId="3" xfId="0" applyFill="1" applyBorder="1" applyAlignment="1">
      <alignment horizontal="center"/>
    </xf>
    <xf numFmtId="0" fontId="0" fillId="24" borderId="106" xfId="0" applyFill="1" applyBorder="1"/>
    <xf numFmtId="0" fontId="0" fillId="24" borderId="30" xfId="0" applyFill="1" applyBorder="1"/>
    <xf numFmtId="0" fontId="5" fillId="24" borderId="13" xfId="0" applyFont="1" applyFill="1" applyBorder="1" applyAlignment="1">
      <alignment horizontal="center"/>
    </xf>
    <xf numFmtId="0" fontId="0" fillId="24" borderId="7" xfId="0" applyFill="1" applyBorder="1"/>
    <xf numFmtId="0" fontId="45" fillId="17" borderId="5" xfId="0" applyFont="1" applyFill="1" applyBorder="1" applyAlignment="1">
      <alignment horizontal="center" vertical="center" textRotation="90"/>
    </xf>
    <xf numFmtId="0" fontId="45" fillId="17" borderId="4" xfId="0" applyFont="1" applyFill="1" applyBorder="1" applyAlignment="1">
      <alignment horizontal="center" vertical="center" textRotation="90"/>
    </xf>
    <xf numFmtId="0" fontId="45" fillId="17" borderId="7" xfId="0" applyFont="1" applyFill="1" applyBorder="1" applyAlignment="1">
      <alignment horizontal="center" vertical="center" textRotation="90"/>
    </xf>
    <xf numFmtId="0" fontId="45" fillId="3" borderId="5" xfId="0" applyFont="1" applyFill="1" applyBorder="1" applyAlignment="1">
      <alignment horizontal="center" vertical="center" textRotation="90"/>
    </xf>
    <xf numFmtId="0" fontId="45" fillId="3" borderId="4" xfId="0" applyFont="1" applyFill="1" applyBorder="1" applyAlignment="1">
      <alignment horizontal="center" vertical="center" textRotation="90"/>
    </xf>
    <xf numFmtId="0" fontId="45" fillId="3" borderId="7" xfId="0" applyFont="1" applyFill="1" applyBorder="1" applyAlignment="1">
      <alignment horizontal="center" vertical="center" textRotation="90"/>
    </xf>
    <xf numFmtId="0" fontId="0" fillId="5" borderId="5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0" fillId="0" borderId="106" xfId="0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1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53" fillId="5" borderId="84" xfId="0" applyFont="1" applyFill="1" applyBorder="1" applyAlignment="1">
      <alignment horizontal="left"/>
    </xf>
    <xf numFmtId="0" fontId="53" fillId="5" borderId="0" xfId="0" applyFont="1" applyFill="1" applyAlignment="1">
      <alignment horizontal="left"/>
    </xf>
    <xf numFmtId="0" fontId="49" fillId="16" borderId="125" xfId="0" applyFont="1" applyFill="1" applyBorder="1" applyAlignment="1" applyProtection="1">
      <alignment horizontal="center"/>
      <protection locked="0"/>
    </xf>
    <xf numFmtId="0" fontId="49" fillId="16" borderId="126" xfId="0" applyFont="1" applyFill="1" applyBorder="1" applyAlignment="1" applyProtection="1">
      <alignment horizontal="center"/>
      <protection locked="0"/>
    </xf>
    <xf numFmtId="0" fontId="49" fillId="16" borderId="127" xfId="0" applyFont="1" applyFill="1" applyBorder="1" applyAlignment="1" applyProtection="1">
      <alignment horizontal="center"/>
      <protection locked="0"/>
    </xf>
    <xf numFmtId="0" fontId="40" fillId="8" borderId="10" xfId="0" applyFont="1" applyFill="1" applyBorder="1" applyAlignment="1">
      <alignment horizontal="center" vertical="center"/>
    </xf>
    <xf numFmtId="0" fontId="40" fillId="8" borderId="0" xfId="0" applyFont="1" applyFill="1" applyBorder="1" applyAlignment="1">
      <alignment horizontal="center" vertical="center"/>
    </xf>
    <xf numFmtId="0" fontId="40" fillId="8" borderId="15" xfId="0" applyFont="1" applyFill="1" applyBorder="1" applyAlignment="1">
      <alignment horizontal="center" vertical="center"/>
    </xf>
    <xf numFmtId="0" fontId="40" fillId="8" borderId="108" xfId="0" applyFont="1" applyFill="1" applyBorder="1" applyAlignment="1">
      <alignment horizontal="center" vertical="center"/>
    </xf>
    <xf numFmtId="0" fontId="40" fillId="8" borderId="31" xfId="0" applyFont="1" applyFill="1" applyBorder="1" applyAlignment="1">
      <alignment horizontal="center" vertical="center"/>
    </xf>
    <xf numFmtId="0" fontId="40" fillId="8" borderId="2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 textRotation="90"/>
    </xf>
    <xf numFmtId="0" fontId="42" fillId="3" borderId="4" xfId="0" applyFont="1" applyFill="1" applyBorder="1" applyAlignment="1">
      <alignment horizontal="center" vertical="center" textRotation="90"/>
    </xf>
    <xf numFmtId="0" fontId="42" fillId="3" borderId="7" xfId="0" applyFont="1" applyFill="1" applyBorder="1" applyAlignment="1">
      <alignment horizontal="center" vertical="center" textRotation="90"/>
    </xf>
    <xf numFmtId="0" fontId="39" fillId="5" borderId="0" xfId="0" applyFont="1" applyFill="1" applyBorder="1" applyAlignment="1">
      <alignment horizontal="center" vertical="center"/>
    </xf>
    <xf numFmtId="0" fontId="5" fillId="11" borderId="5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43" fontId="39" fillId="10" borderId="0" xfId="1" applyFont="1" applyFill="1" applyBorder="1" applyAlignment="1">
      <alignment horizontal="center" vertical="center"/>
    </xf>
    <xf numFmtId="0" fontId="67" fillId="18" borderId="0" xfId="0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/>
    </xf>
    <xf numFmtId="200" fontId="48" fillId="22" borderId="0" xfId="0" applyNumberFormat="1" applyFont="1" applyFill="1" applyBorder="1" applyAlignment="1">
      <alignment horizontal="left" vertical="center" textRotation="90"/>
    </xf>
    <xf numFmtId="43" fontId="17" fillId="0" borderId="80" xfId="1" applyFont="1" applyFill="1" applyBorder="1" applyAlignment="1">
      <alignment horizontal="center"/>
    </xf>
    <xf numFmtId="43" fontId="17" fillId="0" borderId="81" xfId="1" applyFont="1" applyFill="1" applyBorder="1" applyAlignment="1">
      <alignment horizontal="center"/>
    </xf>
    <xf numFmtId="0" fontId="45" fillId="15" borderId="5" xfId="0" applyFont="1" applyFill="1" applyBorder="1" applyAlignment="1">
      <alignment horizontal="center" vertical="center" textRotation="90"/>
    </xf>
    <xf numFmtId="0" fontId="45" fillId="15" borderId="4" xfId="0" applyFont="1" applyFill="1" applyBorder="1" applyAlignment="1">
      <alignment horizontal="center" vertical="center" textRotation="90"/>
    </xf>
    <xf numFmtId="0" fontId="45" fillId="15" borderId="7" xfId="0" applyFont="1" applyFill="1" applyBorder="1" applyAlignment="1">
      <alignment horizontal="center" vertical="center" textRotation="90"/>
    </xf>
    <xf numFmtId="2" fontId="39" fillId="10" borderId="0" xfId="0" applyNumberFormat="1" applyFont="1" applyFill="1" applyBorder="1" applyAlignment="1">
      <alignment horizontal="center" vertical="center"/>
    </xf>
    <xf numFmtId="0" fontId="39" fillId="10" borderId="0" xfId="0" applyFont="1" applyFill="1" applyBorder="1" applyAlignment="1">
      <alignment horizontal="center" vertical="center"/>
    </xf>
    <xf numFmtId="0" fontId="41" fillId="4" borderId="106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0" fontId="59" fillId="2" borderId="10" xfId="0" applyFont="1" applyFill="1" applyBorder="1" applyAlignment="1">
      <alignment horizontal="center" vertical="center"/>
    </xf>
    <xf numFmtId="0" fontId="59" fillId="2" borderId="4" xfId="0" applyFont="1" applyFill="1" applyBorder="1" applyAlignment="1">
      <alignment horizontal="center" vertical="center"/>
    </xf>
    <xf numFmtId="0" fontId="59" fillId="2" borderId="7" xfId="0" applyFont="1" applyFill="1" applyBorder="1" applyAlignment="1">
      <alignment horizontal="center" vertical="center"/>
    </xf>
    <xf numFmtId="0" fontId="68" fillId="19" borderId="5" xfId="0" applyFont="1" applyFill="1" applyBorder="1" applyAlignment="1">
      <alignment horizontal="center" vertical="center"/>
    </xf>
    <xf numFmtId="0" fontId="68" fillId="19" borderId="10" xfId="0" applyFont="1" applyFill="1" applyBorder="1" applyAlignment="1">
      <alignment horizontal="center" vertical="center"/>
    </xf>
    <xf numFmtId="0" fontId="68" fillId="19" borderId="4" xfId="0" applyFont="1" applyFill="1" applyBorder="1" applyAlignment="1">
      <alignment horizontal="center" vertical="center"/>
    </xf>
    <xf numFmtId="0" fontId="68" fillId="19" borderId="7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0" fontId="45" fillId="20" borderId="5" xfId="0" applyFont="1" applyFill="1" applyBorder="1" applyAlignment="1">
      <alignment horizontal="center" vertical="center" textRotation="90"/>
    </xf>
    <xf numFmtId="0" fontId="45" fillId="20" borderId="4" xfId="0" applyFont="1" applyFill="1" applyBorder="1" applyAlignment="1">
      <alignment horizontal="center" vertical="center" textRotation="90"/>
    </xf>
    <xf numFmtId="0" fontId="45" fillId="20" borderId="7" xfId="0" applyFont="1" applyFill="1" applyBorder="1" applyAlignment="1">
      <alignment horizontal="center" vertical="center" textRotation="90"/>
    </xf>
    <xf numFmtId="0" fontId="45" fillId="9" borderId="5" xfId="0" applyFont="1" applyFill="1" applyBorder="1" applyAlignment="1">
      <alignment horizontal="center" vertical="center" textRotation="90"/>
    </xf>
    <xf numFmtId="0" fontId="45" fillId="9" borderId="4" xfId="0" applyFont="1" applyFill="1" applyBorder="1" applyAlignment="1">
      <alignment horizontal="center" vertical="center" textRotation="90"/>
    </xf>
    <xf numFmtId="0" fontId="45" fillId="9" borderId="7" xfId="0" applyFont="1" applyFill="1" applyBorder="1" applyAlignment="1">
      <alignment horizontal="center" vertical="center" textRotation="90"/>
    </xf>
    <xf numFmtId="0" fontId="0" fillId="5" borderId="0" xfId="0" applyFill="1" applyBorder="1" applyAlignment="1">
      <alignment horizontal="center" vertical="center"/>
    </xf>
    <xf numFmtId="43" fontId="0" fillId="5" borderId="0" xfId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5" fillId="5" borderId="31" xfId="0" applyFont="1" applyFill="1" applyBorder="1" applyAlignment="1">
      <alignment horizontal="center"/>
    </xf>
    <xf numFmtId="0" fontId="5" fillId="11" borderId="33" xfId="0" applyFont="1" applyFill="1" applyBorder="1" applyAlignment="1">
      <alignment horizontal="center" vertical="center"/>
    </xf>
    <xf numFmtId="0" fontId="5" fillId="11" borderId="27" xfId="0" applyFont="1" applyFill="1" applyBorder="1" applyAlignment="1">
      <alignment horizontal="center" vertical="center"/>
    </xf>
    <xf numFmtId="0" fontId="17" fillId="4" borderId="30" xfId="0" applyFont="1" applyFill="1" applyBorder="1" applyAlignment="1">
      <alignment horizontal="center"/>
    </xf>
    <xf numFmtId="0" fontId="17" fillId="4" borderId="31" xfId="0" applyFont="1" applyFill="1" applyBorder="1" applyAlignment="1">
      <alignment horizontal="center"/>
    </xf>
    <xf numFmtId="0" fontId="17" fillId="4" borderId="13" xfId="0" applyFont="1" applyFill="1" applyBorder="1" applyAlignment="1">
      <alignment horizontal="center"/>
    </xf>
    <xf numFmtId="218" fontId="57" fillId="16" borderId="79" xfId="0" applyNumberFormat="1" applyFont="1" applyFill="1" applyBorder="1" applyAlignment="1" applyProtection="1">
      <alignment horizontal="center"/>
      <protection locked="0"/>
    </xf>
    <xf numFmtId="218" fontId="57" fillId="16" borderId="80" xfId="0" applyNumberFormat="1" applyFont="1" applyFill="1" applyBorder="1" applyAlignment="1" applyProtection="1">
      <alignment horizontal="center"/>
      <protection locked="0"/>
    </xf>
    <xf numFmtId="218" fontId="57" fillId="16" borderId="81" xfId="0" applyNumberFormat="1" applyFont="1" applyFill="1" applyBorder="1" applyAlignment="1" applyProtection="1">
      <alignment horizontal="center"/>
      <protection locked="0"/>
    </xf>
    <xf numFmtId="219" fontId="58" fillId="0" borderId="107" xfId="0" applyNumberFormat="1" applyFont="1" applyBorder="1" applyAlignment="1">
      <alignment horizontal="center" vertical="center"/>
    </xf>
    <xf numFmtId="219" fontId="58" fillId="0" borderId="4" xfId="0" applyNumberFormat="1" applyFont="1" applyBorder="1" applyAlignment="1">
      <alignment horizontal="center" vertical="center"/>
    </xf>
    <xf numFmtId="219" fontId="58" fillId="0" borderId="7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97" fontId="0" fillId="0" borderId="0" xfId="0" applyNumberFormat="1" applyBorder="1" applyAlignment="1">
      <alignment horizontal="center"/>
    </xf>
    <xf numFmtId="197" fontId="0" fillId="5" borderId="31" xfId="0" applyNumberFormat="1" applyFill="1" applyBorder="1" applyAlignment="1">
      <alignment horizontal="center"/>
    </xf>
    <xf numFmtId="217" fontId="8" fillId="5" borderId="0" xfId="0" applyNumberFormat="1" applyFont="1" applyFill="1" applyAlignment="1">
      <alignment horizontal="center" vertical="center"/>
    </xf>
    <xf numFmtId="0" fontId="0" fillId="5" borderId="34" xfId="0" applyFill="1" applyBorder="1" applyAlignment="1">
      <alignment horizontal="center"/>
    </xf>
    <xf numFmtId="0" fontId="58" fillId="0" borderId="5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108" xfId="0" applyFont="1" applyBorder="1" applyAlignment="1">
      <alignment horizontal="center" vertical="center"/>
    </xf>
    <xf numFmtId="0" fontId="17" fillId="4" borderId="34" xfId="0" applyFont="1" applyFill="1" applyBorder="1" applyAlignment="1">
      <alignment horizontal="center"/>
    </xf>
    <xf numFmtId="207" fontId="49" fillId="16" borderId="79" xfId="0" applyNumberFormat="1" applyFont="1" applyFill="1" applyBorder="1" applyAlignment="1" applyProtection="1">
      <alignment horizontal="center"/>
      <protection locked="0"/>
    </xf>
    <xf numFmtId="207" fontId="49" fillId="16" borderId="81" xfId="0" applyNumberFormat="1" applyFont="1" applyFill="1" applyBorder="1" applyAlignment="1" applyProtection="1">
      <alignment horizontal="center"/>
      <protection locked="0"/>
    </xf>
    <xf numFmtId="0" fontId="8" fillId="0" borderId="34" xfId="0" applyFont="1" applyBorder="1" applyAlignment="1">
      <alignment horizontal="center"/>
    </xf>
    <xf numFmtId="0" fontId="5" fillId="2" borderId="61" xfId="0" applyFont="1" applyFill="1" applyBorder="1" applyAlignment="1">
      <alignment horizontal="center" vertical="center" textRotation="90"/>
    </xf>
    <xf numFmtId="0" fontId="5" fillId="2" borderId="62" xfId="0" applyFont="1" applyFill="1" applyBorder="1" applyAlignment="1">
      <alignment horizontal="center" vertical="center" textRotation="90"/>
    </xf>
    <xf numFmtId="0" fontId="5" fillId="2" borderId="63" xfId="0" applyFont="1" applyFill="1" applyBorder="1" applyAlignment="1">
      <alignment horizontal="center" vertical="center" textRotation="90"/>
    </xf>
    <xf numFmtId="0" fontId="17" fillId="5" borderId="0" xfId="0" applyFont="1" applyFill="1" applyBorder="1" applyAlignment="1">
      <alignment horizontal="center"/>
    </xf>
    <xf numFmtId="0" fontId="17" fillId="5" borderId="15" xfId="0" applyFont="1" applyFill="1" applyBorder="1" applyAlignment="1">
      <alignment horizontal="center"/>
    </xf>
    <xf numFmtId="0" fontId="17" fillId="4" borderId="56" xfId="0" applyFont="1" applyFill="1" applyBorder="1" applyAlignment="1">
      <alignment horizontal="center"/>
    </xf>
    <xf numFmtId="0" fontId="17" fillId="4" borderId="58" xfId="0" applyFont="1" applyFill="1" applyBorder="1" applyAlignment="1">
      <alignment horizontal="center"/>
    </xf>
    <xf numFmtId="0" fontId="5" fillId="12" borderId="61" xfId="0" applyFont="1" applyFill="1" applyBorder="1" applyAlignment="1">
      <alignment horizontal="center" vertical="center" textRotation="90"/>
    </xf>
    <xf numFmtId="0" fontId="5" fillId="12" borderId="62" xfId="0" applyFont="1" applyFill="1" applyBorder="1" applyAlignment="1">
      <alignment horizontal="center" vertical="center" textRotation="90"/>
    </xf>
    <xf numFmtId="0" fontId="21" fillId="5" borderId="31" xfId="0" applyFont="1" applyFill="1" applyBorder="1" applyAlignment="1">
      <alignment horizontal="center"/>
    </xf>
    <xf numFmtId="195" fontId="14" fillId="5" borderId="31" xfId="1" applyNumberFormat="1" applyFont="1" applyFill="1" applyBorder="1" applyAlignment="1">
      <alignment horizontal="center"/>
    </xf>
    <xf numFmtId="0" fontId="17" fillId="5" borderId="31" xfId="0" applyFont="1" applyFill="1" applyBorder="1" applyAlignment="1">
      <alignment horizontal="center"/>
    </xf>
    <xf numFmtId="206" fontId="5" fillId="0" borderId="15" xfId="0" applyNumberFormat="1" applyFont="1" applyBorder="1" applyAlignment="1">
      <alignment horizontal="center" vertical="center"/>
    </xf>
    <xf numFmtId="206" fontId="5" fillId="0" borderId="27" xfId="0" applyNumberFormat="1" applyFont="1" applyBorder="1" applyAlignment="1">
      <alignment horizontal="center" vertical="center"/>
    </xf>
    <xf numFmtId="206" fontId="49" fillId="16" borderId="115" xfId="0" applyNumberFormat="1" applyFont="1" applyFill="1" applyBorder="1" applyAlignment="1" applyProtection="1">
      <alignment horizontal="center" vertical="center"/>
      <protection locked="0"/>
    </xf>
    <xf numFmtId="206" fontId="49" fillId="16" borderId="116" xfId="0" applyNumberFormat="1" applyFont="1" applyFill="1" applyBorder="1" applyAlignment="1" applyProtection="1">
      <alignment horizontal="center" vertical="center"/>
      <protection locked="0"/>
    </xf>
    <xf numFmtId="0" fontId="51" fillId="0" borderId="0" xfId="0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5" fillId="4" borderId="30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1" fillId="0" borderId="34" xfId="0" applyFont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42" fillId="7" borderId="61" xfId="0" applyFont="1" applyFill="1" applyBorder="1" applyAlignment="1">
      <alignment horizontal="center" vertical="center"/>
    </xf>
    <xf numFmtId="0" fontId="42" fillId="7" borderId="62" xfId="0" applyFont="1" applyFill="1" applyBorder="1" applyAlignment="1">
      <alignment horizontal="center" vertical="center"/>
    </xf>
    <xf numFmtId="0" fontId="42" fillId="7" borderId="63" xfId="0" applyFont="1" applyFill="1" applyBorder="1" applyAlignment="1">
      <alignment horizontal="center" vertical="center"/>
    </xf>
    <xf numFmtId="0" fontId="42" fillId="2" borderId="61" xfId="0" applyFont="1" applyFill="1" applyBorder="1" applyAlignment="1">
      <alignment horizontal="center" vertical="center"/>
    </xf>
    <xf numFmtId="0" fontId="42" fillId="2" borderId="63" xfId="0" applyFont="1" applyFill="1" applyBorder="1" applyAlignment="1">
      <alignment horizontal="center" vertical="center"/>
    </xf>
    <xf numFmtId="0" fontId="42" fillId="3" borderId="61" xfId="0" applyFont="1" applyFill="1" applyBorder="1" applyAlignment="1">
      <alignment horizontal="center" vertical="center"/>
    </xf>
    <xf numFmtId="0" fontId="42" fillId="3" borderId="63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/>
    </xf>
    <xf numFmtId="0" fontId="42" fillId="2" borderId="62" xfId="0" applyFont="1" applyFill="1" applyBorder="1" applyAlignment="1">
      <alignment horizontal="center" vertical="center"/>
    </xf>
    <xf numFmtId="0" fontId="42" fillId="9" borderId="61" xfId="0" applyFont="1" applyFill="1" applyBorder="1" applyAlignment="1">
      <alignment horizontal="center" vertical="center"/>
    </xf>
    <xf numFmtId="0" fontId="42" fillId="9" borderId="62" xfId="0" applyFont="1" applyFill="1" applyBorder="1" applyAlignment="1">
      <alignment horizontal="center" vertical="center"/>
    </xf>
    <xf numFmtId="0" fontId="42" fillId="9" borderId="63" xfId="0" applyFont="1" applyFill="1" applyBorder="1" applyAlignment="1">
      <alignment horizontal="center" vertical="center"/>
    </xf>
    <xf numFmtId="0" fontId="43" fillId="13" borderId="61" xfId="0" applyFont="1" applyFill="1" applyBorder="1" applyAlignment="1">
      <alignment horizontal="center" vertical="center"/>
    </xf>
    <xf numFmtId="0" fontId="43" fillId="13" borderId="62" xfId="0" applyFont="1" applyFill="1" applyBorder="1" applyAlignment="1">
      <alignment horizontal="center" vertical="center"/>
    </xf>
    <xf numFmtId="0" fontId="45" fillId="15" borderId="0" xfId="0" applyFont="1" applyFill="1" applyBorder="1" applyAlignment="1">
      <alignment horizontal="center" vertical="center" textRotation="90"/>
    </xf>
    <xf numFmtId="0" fontId="41" fillId="4" borderId="34" xfId="0" applyFont="1" applyFill="1" applyBorder="1" applyAlignment="1">
      <alignment horizontal="center" vertical="center"/>
    </xf>
    <xf numFmtId="0" fontId="22" fillId="4" borderId="34" xfId="0" applyFont="1" applyFill="1" applyBorder="1" applyAlignment="1">
      <alignment horizontal="center" vertical="center"/>
    </xf>
    <xf numFmtId="0" fontId="22" fillId="4" borderId="33" xfId="0" applyFont="1" applyFill="1" applyBorder="1" applyAlignment="1">
      <alignment horizontal="center" vertical="center"/>
    </xf>
    <xf numFmtId="200" fontId="48" fillId="22" borderId="55" xfId="0" applyNumberFormat="1" applyFont="1" applyFill="1" applyBorder="1" applyAlignment="1">
      <alignment horizontal="left" vertical="center" textRotation="90"/>
    </xf>
    <xf numFmtId="201" fontId="0" fillId="0" borderId="0" xfId="0" applyNumberFormat="1" applyAlignment="1">
      <alignment horizontal="center"/>
    </xf>
    <xf numFmtId="202" fontId="0" fillId="0" borderId="0" xfId="0" applyNumberFormat="1" applyAlignment="1">
      <alignment horizontal="center"/>
    </xf>
    <xf numFmtId="0" fontId="41" fillId="4" borderId="30" xfId="0" applyFont="1" applyFill="1" applyBorder="1" applyAlignment="1">
      <alignment horizontal="center" vertical="center"/>
    </xf>
    <xf numFmtId="0" fontId="41" fillId="4" borderId="13" xfId="0" applyFont="1" applyFill="1" applyBorder="1" applyAlignment="1">
      <alignment horizontal="center" vertical="center"/>
    </xf>
    <xf numFmtId="0" fontId="41" fillId="4" borderId="30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/>
    </xf>
    <xf numFmtId="0" fontId="22" fillId="4" borderId="13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24" fillId="5" borderId="36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center"/>
    </xf>
    <xf numFmtId="0" fontId="24" fillId="5" borderId="30" xfId="0" applyFont="1" applyFill="1" applyBorder="1" applyAlignment="1">
      <alignment horizontal="center"/>
    </xf>
    <xf numFmtId="0" fontId="24" fillId="5" borderId="13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24" fillId="5" borderId="59" xfId="0" applyFont="1" applyFill="1" applyBorder="1" applyAlignment="1">
      <alignment horizontal="center"/>
    </xf>
    <xf numFmtId="187" fontId="18" fillId="16" borderId="64" xfId="0" applyNumberFormat="1" applyFont="1" applyFill="1" applyBorder="1" applyAlignment="1" applyProtection="1">
      <alignment horizontal="center"/>
      <protection locked="0"/>
    </xf>
    <xf numFmtId="187" fontId="18" fillId="16" borderId="29" xfId="0" applyNumberFormat="1" applyFont="1" applyFill="1" applyBorder="1" applyAlignment="1" applyProtection="1">
      <alignment horizontal="center"/>
      <protection locked="0"/>
    </xf>
    <xf numFmtId="0" fontId="18" fillId="16" borderId="1" xfId="0" applyFont="1" applyFill="1" applyBorder="1" applyAlignment="1" applyProtection="1">
      <alignment horizontal="center"/>
      <protection locked="0"/>
    </xf>
    <xf numFmtId="0" fontId="18" fillId="16" borderId="53" xfId="0" applyFont="1" applyFill="1" applyBorder="1" applyAlignment="1" applyProtection="1">
      <alignment horizontal="center"/>
      <protection locked="0"/>
    </xf>
    <xf numFmtId="0" fontId="18" fillId="16" borderId="2" xfId="0" applyFont="1" applyFill="1" applyBorder="1" applyAlignment="1" applyProtection="1">
      <alignment horizontal="center"/>
      <protection locked="0"/>
    </xf>
    <xf numFmtId="0" fontId="5" fillId="12" borderId="63" xfId="0" applyFont="1" applyFill="1" applyBorder="1" applyAlignment="1">
      <alignment horizontal="center" vertical="center" textRotation="90"/>
    </xf>
    <xf numFmtId="0" fontId="42" fillId="6" borderId="61" xfId="0" applyFont="1" applyFill="1" applyBorder="1" applyAlignment="1">
      <alignment horizontal="center" vertical="center"/>
    </xf>
    <xf numFmtId="0" fontId="42" fillId="6" borderId="62" xfId="0" applyFont="1" applyFill="1" applyBorder="1" applyAlignment="1">
      <alignment horizontal="center" vertical="center"/>
    </xf>
    <xf numFmtId="0" fontId="42" fillId="6" borderId="63" xfId="0" applyFont="1" applyFill="1" applyBorder="1" applyAlignment="1">
      <alignment horizontal="center" vertical="center"/>
    </xf>
    <xf numFmtId="0" fontId="42" fillId="11" borderId="61" xfId="0" applyFont="1" applyFill="1" applyBorder="1" applyAlignment="1">
      <alignment horizontal="center" vertical="center"/>
    </xf>
    <xf numFmtId="0" fontId="42" fillId="11" borderId="63" xfId="0" applyFont="1" applyFill="1" applyBorder="1" applyAlignment="1">
      <alignment horizontal="center" vertical="center"/>
    </xf>
    <xf numFmtId="0" fontId="37" fillId="0" borderId="107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37" fillId="0" borderId="108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17" fillId="4" borderId="106" xfId="0" applyFont="1" applyFill="1" applyBorder="1" applyAlignment="1">
      <alignment horizontal="center"/>
    </xf>
    <xf numFmtId="207" fontId="49" fillId="0" borderId="3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49" fillId="0" borderId="108" xfId="0" applyFont="1" applyBorder="1" applyAlignment="1">
      <alignment horizontal="center"/>
    </xf>
    <xf numFmtId="0" fontId="49" fillId="0" borderId="31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9" fillId="0" borderId="107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108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27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7" xfId="0" applyFont="1" applyBorder="1" applyAlignment="1">
      <alignment horizontal="center" vertical="center"/>
    </xf>
    <xf numFmtId="209" fontId="50" fillId="0" borderId="107" xfId="0" applyNumberFormat="1" applyFont="1" applyBorder="1" applyAlignment="1">
      <alignment horizontal="center" vertical="center"/>
    </xf>
    <xf numFmtId="209" fontId="50" fillId="0" borderId="34" xfId="0" applyNumberFormat="1" applyFont="1" applyBorder="1" applyAlignment="1">
      <alignment horizontal="center" vertical="center"/>
    </xf>
    <xf numFmtId="209" fontId="50" fillId="0" borderId="33" xfId="0" applyNumberFormat="1" applyFont="1" applyBorder="1" applyAlignment="1">
      <alignment horizontal="center" vertical="center"/>
    </xf>
    <xf numFmtId="208" fontId="50" fillId="0" borderId="107" xfId="0" applyNumberFormat="1" applyFont="1" applyBorder="1" applyAlignment="1">
      <alignment horizontal="center" vertical="center"/>
    </xf>
    <xf numFmtId="208" fontId="50" fillId="0" borderId="34" xfId="0" applyNumberFormat="1" applyFont="1" applyBorder="1" applyAlignment="1">
      <alignment horizontal="center" vertical="center"/>
    </xf>
    <xf numFmtId="208" fontId="50" fillId="0" borderId="33" xfId="0" applyNumberFormat="1" applyFont="1" applyBorder="1" applyAlignment="1">
      <alignment horizontal="center" vertical="center"/>
    </xf>
    <xf numFmtId="206" fontId="49" fillId="0" borderId="0" xfId="0" applyNumberFormat="1" applyFont="1" applyBorder="1" applyAlignment="1">
      <alignment horizontal="center" vertical="center"/>
    </xf>
    <xf numFmtId="206" fontId="49" fillId="0" borderId="31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0" xfId="0" applyAlignment="1">
      <alignment horizontal="center"/>
    </xf>
    <xf numFmtId="206" fontId="5" fillId="0" borderId="5" xfId="0" applyNumberFormat="1" applyFont="1" applyBorder="1" applyAlignment="1">
      <alignment horizontal="center" vertical="center"/>
    </xf>
    <xf numFmtId="206" fontId="5" fillId="0" borderId="7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99"/>
      <color rgb="FFB9735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3.png"/><Relationship Id="rId7" Type="http://schemas.openxmlformats.org/officeDocument/2006/relationships/image" Target="../media/image16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649941</xdr:colOff>
      <xdr:row>5</xdr:row>
      <xdr:rowOff>44824</xdr:rowOff>
    </xdr:from>
    <xdr:to>
      <xdr:col>5</xdr:col>
      <xdr:colOff>935691</xdr:colOff>
      <xdr:row>5</xdr:row>
      <xdr:rowOff>273424</xdr:rowOff>
    </xdr:to>
    <xdr:pic>
      <xdr:nvPicPr>
        <xdr:cNvPr id="3" name="รูปภาพ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966" y="1768849"/>
          <a:ext cx="28575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65314</xdr:colOff>
      <xdr:row>43</xdr:row>
      <xdr:rowOff>141763</xdr:rowOff>
    </xdr:from>
    <xdr:to>
      <xdr:col>3</xdr:col>
      <xdr:colOff>785132</xdr:colOff>
      <xdr:row>44</xdr:row>
      <xdr:rowOff>227487</xdr:rowOff>
    </xdr:to>
    <xdr:pic>
      <xdr:nvPicPr>
        <xdr:cNvPr id="4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964" y="12114688"/>
          <a:ext cx="1567543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25213</xdr:colOff>
      <xdr:row>49</xdr:row>
      <xdr:rowOff>111499</xdr:rowOff>
    </xdr:from>
    <xdr:to>
      <xdr:col>4</xdr:col>
      <xdr:colOff>672913</xdr:colOff>
      <xdr:row>51</xdr:row>
      <xdr:rowOff>1121</xdr:rowOff>
    </xdr:to>
    <xdr:pic>
      <xdr:nvPicPr>
        <xdr:cNvPr id="5" name="รูปภาพ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389" y="13693028"/>
          <a:ext cx="1499348" cy="47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45</xdr:row>
      <xdr:rowOff>85725</xdr:rowOff>
    </xdr:from>
    <xdr:to>
      <xdr:col>8</xdr:col>
      <xdr:colOff>434731</xdr:colOff>
      <xdr:row>48</xdr:row>
      <xdr:rowOff>123824</xdr:rowOff>
    </xdr:to>
    <xdr:pic>
      <xdr:nvPicPr>
        <xdr:cNvPr id="6" name="รูปภาพ 5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25082" t="20214" r="46099" b="26394"/>
        <a:stretch/>
      </xdr:blipFill>
      <xdr:spPr>
        <a:xfrm>
          <a:off x="6819900" y="12649200"/>
          <a:ext cx="891931" cy="923925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20</xdr:row>
      <xdr:rowOff>180975</xdr:rowOff>
    </xdr:from>
    <xdr:to>
      <xdr:col>10</xdr:col>
      <xdr:colOff>571500</xdr:colOff>
      <xdr:row>22</xdr:row>
      <xdr:rowOff>161925</xdr:rowOff>
    </xdr:to>
    <xdr:sp macro="" textlink="">
      <xdr:nvSpPr>
        <xdr:cNvPr id="7" name="TextBox 6"/>
        <xdr:cNvSpPr txBox="1"/>
      </xdr:nvSpPr>
      <xdr:spPr>
        <a:xfrm>
          <a:off x="6981825" y="6134100"/>
          <a:ext cx="3057525" cy="5715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พื้นที่กรุงเทพฯและปริมณฑลไม่ต้องปรับค่าแก้ของ</a:t>
          </a:r>
        </a:p>
        <a:p>
          <a:r>
            <a:rPr lang="th-TH" sz="1100"/>
            <a:t>ชั้นดิน เพราะ</a:t>
          </a:r>
          <a:r>
            <a:rPr lang="en-US" sz="1100"/>
            <a:t> CODE</a:t>
          </a:r>
          <a:r>
            <a:rPr lang="th-TH" sz="1100"/>
            <a:t>ทำการปรับการจากค่า</a:t>
          </a:r>
          <a:r>
            <a:rPr lang="th-TH" sz="1100" baseline="0"/>
            <a:t> </a:t>
          </a:r>
          <a:r>
            <a:rPr lang="en-US" sz="1100" baseline="0"/>
            <a:t>Sa </a:t>
          </a:r>
          <a:r>
            <a:rPr lang="th-TH" sz="1100" baseline="0"/>
            <a:t>แล้ว</a:t>
          </a:r>
          <a:endParaRPr lang="th-TH" sz="1100"/>
        </a:p>
      </xdr:txBody>
    </xdr:sp>
    <xdr:clientData/>
  </xdr:twoCellAnchor>
  <xdr:twoCellAnchor>
    <xdr:from>
      <xdr:col>5</xdr:col>
      <xdr:colOff>1057275</xdr:colOff>
      <xdr:row>21</xdr:row>
      <xdr:rowOff>171450</xdr:rowOff>
    </xdr:from>
    <xdr:to>
      <xdr:col>7</xdr:col>
      <xdr:colOff>295275</xdr:colOff>
      <xdr:row>22</xdr:row>
      <xdr:rowOff>219075</xdr:rowOff>
    </xdr:to>
    <xdr:cxnSp macro="">
      <xdr:nvCxnSpPr>
        <xdr:cNvPr id="9" name="ลูกศรเชื่อมต่อแบบตรง 8"/>
        <xdr:cNvCxnSpPr>
          <a:stCxn id="7" idx="1"/>
        </xdr:cNvCxnSpPr>
      </xdr:nvCxnSpPr>
      <xdr:spPr>
        <a:xfrm flipH="1">
          <a:off x="5372100" y="6419850"/>
          <a:ext cx="1609725" cy="3429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76760</xdr:colOff>
      <xdr:row>52</xdr:row>
      <xdr:rowOff>107017</xdr:rowOff>
    </xdr:from>
    <xdr:to>
      <xdr:col>4</xdr:col>
      <xdr:colOff>724460</xdr:colOff>
      <xdr:row>53</xdr:row>
      <xdr:rowOff>287992</xdr:rowOff>
    </xdr:to>
    <xdr:pic>
      <xdr:nvPicPr>
        <xdr:cNvPr id="14" name="รูปภาพ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936" y="14562605"/>
          <a:ext cx="1499348" cy="47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403412</xdr:colOff>
      <xdr:row>175</xdr:row>
      <xdr:rowOff>201707</xdr:rowOff>
    </xdr:from>
    <xdr:to>
      <xdr:col>10</xdr:col>
      <xdr:colOff>470647</xdr:colOff>
      <xdr:row>178</xdr:row>
      <xdr:rowOff>33618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7093324" y="49798942"/>
              <a:ext cx="2857499" cy="750794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 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baseline="0"/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r>
                      <m:rPr>
                        <m:sty m:val="p"/>
                      </m:rP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V</m:t>
                    </m:r>
                    <m: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/</m:t>
                    </m:r>
                    <m:r>
                      <m:rPr>
                        <m:sty m:val="p"/>
                      </m:rP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K</m:t>
                    </m:r>
                    <m: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(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สติฟเนสโครงสร้างตามแนวแกน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7093324" y="49798942"/>
              <a:ext cx="2857499" cy="750794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 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baseline="0"/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𝑥𝑒=V/K(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สติฟเนสโครงสร้างตามแนวแกน 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7</xdr:col>
      <xdr:colOff>280146</xdr:colOff>
      <xdr:row>179</xdr:row>
      <xdr:rowOff>56028</xdr:rowOff>
    </xdr:from>
    <xdr:to>
      <xdr:col>10</xdr:col>
      <xdr:colOff>571499</xdr:colOff>
      <xdr:row>182</xdr:row>
      <xdr:rowOff>67236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6970058" y="50863499"/>
              <a:ext cx="3081617" cy="88526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ผลรวมค่าเคลื่อนที่ต่อชั้น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  <a:sym typeface="Symbol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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ผลรวมค่า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ของจำนวนชั้นอาคาร</m:t>
                    </m:r>
                  </m:oMath>
                </m:oMathPara>
              </a14:m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6970058" y="50863499"/>
              <a:ext cx="3081617" cy="88526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ผลรวมค่าเคลื่อนที่ต่อชั้น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  <a:sym typeface="Symbol"/>
              </a:endParaRPr>
            </a:p>
            <a:p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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𝑥𝑒=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ผลรวมค่า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ของจำนวนชั้นอาคาร</a:t>
              </a:r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7</xdr:col>
      <xdr:colOff>448236</xdr:colOff>
      <xdr:row>183</xdr:row>
      <xdr:rowOff>56030</xdr:rowOff>
    </xdr:from>
    <xdr:to>
      <xdr:col>10</xdr:col>
      <xdr:colOff>403413</xdr:colOff>
      <xdr:row>186</xdr:row>
      <xdr:rowOff>280148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/>
            <xdr:cNvSpPr txBox="1"/>
          </xdr:nvSpPr>
          <xdr:spPr>
            <a:xfrm>
              <a:off x="7138148" y="52028912"/>
              <a:ext cx="2745441" cy="1098177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100"/>
                <a:t>การเคลื่อนที่ที่ฐานราก </a:t>
              </a:r>
              <a:r>
                <a:rPr lang="th-TH" sz="1100" baseline="0"/>
                <a:t>หาได้ตามสมการนี้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nary>
                      <m:naryPr>
                        <m:chr m:val="∑"/>
                        <m:limLoc m:val="undOvr"/>
                        <m:ctrlP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</m:t>
                        </m:r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1</m:t>
                        </m:r>
                      </m:sub>
                      <m:sup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(</m:t>
                        </m:r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𝐶𝑑</m:t>
                        </m:r>
                      </m:e>
                    </m:nary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/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𝐼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en-US" sz="1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7138148" y="52028912"/>
              <a:ext cx="2745441" cy="1098177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100"/>
                <a:t>การเคลื่อนที่ที่ฐานราก </a:t>
              </a:r>
              <a:r>
                <a:rPr lang="th-TH" sz="1100" baseline="0"/>
                <a:t>หาได้ตามสมการนี้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𝑥=∑1_(𝑥=1)^𝑛▒〖 (𝐶𝑑〗</a:t>
              </a: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𝑥𝑒/𝐼)</a:t>
              </a:r>
              <a:endParaRPr lang="en-US" sz="1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7</xdr:col>
      <xdr:colOff>313763</xdr:colOff>
      <xdr:row>188</xdr:row>
      <xdr:rowOff>78441</xdr:rowOff>
    </xdr:from>
    <xdr:to>
      <xdr:col>10</xdr:col>
      <xdr:colOff>544286</xdr:colOff>
      <xdr:row>190</xdr:row>
      <xdr:rowOff>168088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/>
            <xdr:cNvSpPr txBox="1"/>
          </xdr:nvSpPr>
          <xdr:spPr>
            <a:xfrm>
              <a:off x="6994870" y="55364262"/>
              <a:ext cx="3006380" cy="688362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การเคลื่อนที่สัมพันธ์ระหว่างชั้น </a:t>
              </a:r>
              <a:r>
                <a:rPr lang="th-TH" sz="1100" baseline="0"/>
                <a:t>หาได้ตามสมการนี้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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</m:t>
                    </m:r>
                    <m:r>
                      <a:rPr lang="th-TH" sz="12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ชั้นบน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−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</m:t>
                    </m:r>
                    <m:r>
                      <a:rPr lang="en-US" sz="12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</m:t>
                    </m:r>
                    <m:r>
                      <a:rPr lang="th-TH" sz="12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ชั้นล่าง</m:t>
                    </m:r>
                  </m:oMath>
                </m:oMathPara>
              </a14:m>
              <a:endParaRPr lang="th-TH" sz="1200"/>
            </a:p>
          </xdr:txBody>
        </xdr:sp>
      </mc:Choice>
      <mc:Fallback xmlns="">
        <xdr:sp macro="" textlink="">
          <xdr:nvSpPr>
            <xdr:cNvPr id="31" name="TextBox 30"/>
            <xdr:cNvSpPr txBox="1"/>
          </xdr:nvSpPr>
          <xdr:spPr>
            <a:xfrm>
              <a:off x="6994870" y="55364262"/>
              <a:ext cx="3006380" cy="688362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การเคลื่อนที่สัมพันธ์ระหว่างชั้น </a:t>
              </a:r>
              <a:r>
                <a:rPr lang="th-TH" sz="1100" baseline="0"/>
                <a:t>หาได้ตามสมการนี้</a:t>
              </a:r>
            </a:p>
            <a:p>
              <a:r>
                <a:rPr lang="en-US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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</a:t>
              </a:r>
              <a:r>
                <a:rPr lang="th-TH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ชั้นบน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−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</a:t>
              </a:r>
              <a:r>
                <a:rPr lang="en-US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</a:t>
              </a:r>
              <a:r>
                <a:rPr lang="th-TH" sz="12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ชั้นล่าง</a:t>
              </a:r>
              <a:endParaRPr lang="th-TH" sz="1200"/>
            </a:p>
          </xdr:txBody>
        </xdr:sp>
      </mc:Fallback>
    </mc:AlternateContent>
    <xdr:clientData/>
  </xdr:twoCellAnchor>
  <xdr:twoCellAnchor>
    <xdr:from>
      <xdr:col>7</xdr:col>
      <xdr:colOff>246530</xdr:colOff>
      <xdr:row>121</xdr:row>
      <xdr:rowOff>123265</xdr:rowOff>
    </xdr:from>
    <xdr:to>
      <xdr:col>10</xdr:col>
      <xdr:colOff>313765</xdr:colOff>
      <xdr:row>124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xtBox 32"/>
            <xdr:cNvSpPr txBox="1"/>
          </xdr:nvSpPr>
          <xdr:spPr>
            <a:xfrm>
              <a:off x="6936442" y="33931412"/>
              <a:ext cx="2857499" cy="750794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 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baseline="0"/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r>
                      <m:rPr>
                        <m:sty m:val="p"/>
                      </m:rP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V</m:t>
                    </m:r>
                    <m: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/</m:t>
                    </m:r>
                    <m:r>
                      <m:rPr>
                        <m:sty m:val="p"/>
                      </m:rP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K</m:t>
                    </m:r>
                    <m:r>
                      <a:rPr lang="en-US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(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สติฟเนสโครงสร้างตามแนวแกน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33" name="TextBox 32"/>
            <xdr:cNvSpPr txBox="1"/>
          </xdr:nvSpPr>
          <xdr:spPr>
            <a:xfrm>
              <a:off x="6936442" y="33931412"/>
              <a:ext cx="2857499" cy="750794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 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baseline="0"/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𝑥𝑒=V/K(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สติฟเนสโครงสร้างตามแนวแกน 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7</xdr:col>
      <xdr:colOff>123264</xdr:colOff>
      <xdr:row>125</xdr:row>
      <xdr:rowOff>22410</xdr:rowOff>
    </xdr:from>
    <xdr:to>
      <xdr:col>10</xdr:col>
      <xdr:colOff>414617</xdr:colOff>
      <xdr:row>128</xdr:row>
      <xdr:rowOff>33617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xtBox 33"/>
            <xdr:cNvSpPr txBox="1"/>
          </xdr:nvSpPr>
          <xdr:spPr>
            <a:xfrm>
              <a:off x="6813176" y="34995969"/>
              <a:ext cx="3081617" cy="88526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ผลรวมค่าเคลื่อนที่ต่อชั้น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  <a:sym typeface="Symbol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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ผลรวมค่า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ของจำนวนชั้นอาคาร</m:t>
                    </m:r>
                  </m:oMath>
                </m:oMathPara>
              </a14:m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34" name="TextBox 33"/>
            <xdr:cNvSpPr txBox="1"/>
          </xdr:nvSpPr>
          <xdr:spPr>
            <a:xfrm>
              <a:off x="6813176" y="34995969"/>
              <a:ext cx="3081617" cy="88526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    ผลรวมค่าเคลื่อนที่ต่อชั้น</a:t>
              </a:r>
              <a:r>
                <a:rPr lang="th-TH" sz="1100" baseline="0"/>
                <a:t> หาได้ตามสมการนี้</a:t>
              </a:r>
            </a:p>
            <a:p>
              <a:endParaRPr lang="th-TH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  <a:sym typeface="Symbol"/>
              </a:endParaRPr>
            </a:p>
            <a:p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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𝑥𝑒=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ผลรวมค่า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ของจำนวนชั้นอาคาร</a:t>
              </a:r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7</xdr:col>
      <xdr:colOff>291354</xdr:colOff>
      <xdr:row>129</xdr:row>
      <xdr:rowOff>22411</xdr:rowOff>
    </xdr:from>
    <xdr:to>
      <xdr:col>10</xdr:col>
      <xdr:colOff>246531</xdr:colOff>
      <xdr:row>132</xdr:row>
      <xdr:rowOff>246530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xtBox 34"/>
            <xdr:cNvSpPr txBox="1"/>
          </xdr:nvSpPr>
          <xdr:spPr>
            <a:xfrm>
              <a:off x="6981266" y="36161382"/>
              <a:ext cx="2745441" cy="1098177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100"/>
                <a:t>การเคลื่อนที่ที่ฐานราก </a:t>
              </a:r>
              <a:r>
                <a:rPr lang="th-TH" sz="1100" baseline="0"/>
                <a:t>หาได้ตามสมการนี้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nary>
                      <m:naryPr>
                        <m:chr m:val="∑"/>
                        <m:limLoc m:val="undOvr"/>
                        <m:ctrlP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𝑥</m:t>
                        </m:r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</m:t>
                        </m:r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1</m:t>
                        </m:r>
                      </m:sub>
                      <m:sup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(</m:t>
                        </m:r>
                        <m:r>
                          <a:rPr lang="en-US" sz="1800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𝐶𝑑</m:t>
                        </m:r>
                      </m:e>
                    </m:nary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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𝑥𝑒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/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𝐼</m:t>
                    </m:r>
                    <m:r>
                      <a:rPr lang="en-US" sz="18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en-US" sz="1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35" name="TextBox 34"/>
            <xdr:cNvSpPr txBox="1"/>
          </xdr:nvSpPr>
          <xdr:spPr>
            <a:xfrm>
              <a:off x="6981266" y="36161382"/>
              <a:ext cx="2745441" cy="1098177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100"/>
                <a:t>การเคลื่อนที่ที่ฐานราก </a:t>
              </a:r>
              <a:r>
                <a:rPr lang="th-TH" sz="1100" baseline="0"/>
                <a:t>หาได้ตามสมการนี้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𝑥=∑1_(𝑥=1)^𝑛▒〖 (𝐶𝑑〗</a:t>
              </a: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</a:t>
              </a:r>
              <a:r>
                <a:rPr lang="en-US" sz="18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𝑥𝑒/𝐼)</a:t>
              </a:r>
              <a:endParaRPr lang="en-US" sz="1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7</xdr:col>
      <xdr:colOff>156881</xdr:colOff>
      <xdr:row>134</xdr:row>
      <xdr:rowOff>44823</xdr:rowOff>
    </xdr:from>
    <xdr:to>
      <xdr:col>10</xdr:col>
      <xdr:colOff>347382</xdr:colOff>
      <xdr:row>136</xdr:row>
      <xdr:rowOff>134470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TextBox 35"/>
            <xdr:cNvSpPr txBox="1"/>
          </xdr:nvSpPr>
          <xdr:spPr>
            <a:xfrm>
              <a:off x="6846793" y="37640558"/>
              <a:ext cx="2980765" cy="672353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การเคลื่อนที่สัมพันธ์ระหว่างชั้น </a:t>
              </a:r>
              <a:r>
                <a:rPr lang="th-TH" sz="1100" baseline="0"/>
                <a:t>หาได้ตามสมการนี้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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ชั้นบน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−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  <a:sym typeface="Symbol"/>
                      </a:rPr>
                      <m:t></m:t>
                    </m:r>
                    <m:r>
                      <a:rPr lang="en-US" sz="1100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𝑥</m:t>
                    </m:r>
                    <m:r>
                      <a:rPr lang="th-TH" sz="1100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ชั้นล่าง</m:t>
                    </m:r>
                  </m:oMath>
                </m:oMathPara>
              </a14:m>
              <a:endParaRPr lang="th-TH" sz="1100"/>
            </a:p>
          </xdr:txBody>
        </xdr:sp>
      </mc:Choice>
      <mc:Fallback xmlns="">
        <xdr:sp macro="" textlink="">
          <xdr:nvSpPr>
            <xdr:cNvPr id="36" name="TextBox 35"/>
            <xdr:cNvSpPr txBox="1"/>
          </xdr:nvSpPr>
          <xdr:spPr>
            <a:xfrm>
              <a:off x="6846793" y="37640558"/>
              <a:ext cx="2980765" cy="672353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/>
                <a:t>การเคลื่อนที่สัมพันธ์ระหว่างชั้น </a:t>
              </a:r>
              <a:r>
                <a:rPr lang="th-TH" sz="1100" baseline="0"/>
                <a:t>หาได้ตามสมการนี้</a:t>
              </a:r>
            </a:p>
            <a:p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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ชั้นบน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−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</a:t>
              </a:r>
              <a:r>
                <a:rPr lang="en-US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𝑥</a:t>
              </a:r>
              <a:r>
                <a:rPr lang="th-TH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ชั้นล่าง</a:t>
              </a:r>
              <a:endParaRPr lang="th-TH" sz="1100"/>
            </a:p>
          </xdr:txBody>
        </xdr:sp>
      </mc:Fallback>
    </mc:AlternateContent>
    <xdr:clientData/>
  </xdr:twoCellAnchor>
  <xdr:twoCellAnchor>
    <xdr:from>
      <xdr:col>1</xdr:col>
      <xdr:colOff>145676</xdr:colOff>
      <xdr:row>230</xdr:row>
      <xdr:rowOff>268941</xdr:rowOff>
    </xdr:from>
    <xdr:to>
      <xdr:col>1</xdr:col>
      <xdr:colOff>917201</xdr:colOff>
      <xdr:row>232</xdr:row>
      <xdr:rowOff>25213</xdr:rowOff>
    </xdr:to>
    <xdr:pic>
      <xdr:nvPicPr>
        <xdr:cNvPr id="38" name="รูปภาพ 3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94" y="67437000"/>
          <a:ext cx="771525" cy="33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78441</xdr:colOff>
      <xdr:row>237</xdr:row>
      <xdr:rowOff>134469</xdr:rowOff>
    </xdr:from>
    <xdr:to>
      <xdr:col>10</xdr:col>
      <xdr:colOff>616324</xdr:colOff>
      <xdr:row>245</xdr:row>
      <xdr:rowOff>22411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TextBox 41"/>
            <xdr:cNvSpPr txBox="1"/>
          </xdr:nvSpPr>
          <xdr:spPr>
            <a:xfrm>
              <a:off x="7620000" y="69263557"/>
              <a:ext cx="2476500" cy="221876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/>
                <a:t>ความแตกต่างของ ค่า  </a:t>
              </a:r>
              <a:r>
                <a:rPr lang="th-TH" sz="1400">
                  <a:sym typeface="Symbol"/>
                </a:rPr>
                <a:t></a:t>
              </a:r>
            </a:p>
            <a:p>
              <a:endParaRPr lang="th-TH" sz="1400">
                <a:sym typeface="Symbol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400">
                  <a:sym typeface="Symbol"/>
                </a:rPr>
                <a:t>มยผ</a:t>
              </a:r>
              <a:r>
                <a:rPr lang="en-US" sz="1400">
                  <a:sym typeface="Symbol"/>
                </a:rPr>
                <a:t>.1301-55  </a:t>
              </a:r>
              <a14:m>
                <m:oMath xmlns:m="http://schemas.openxmlformats.org/officeDocument/2006/math">
                  <m:r>
                    <a:rPr lang="en-US" sz="1600" i="1">
                      <a:solidFill>
                        <a:schemeClr val="dk1"/>
                      </a:solidFill>
                      <a:effectLst/>
                      <a:latin typeface="Cambria Math"/>
                      <a:ea typeface="+mn-ea"/>
                      <a:cs typeface="+mn-cs"/>
                      <a:sym typeface="Symbol"/>
                    </a:rPr>
                    <m:t></m:t>
                  </m:r>
                  <m:r>
                    <a:rPr lang="en-US" sz="1600" i="1">
                      <a:solidFill>
                        <a:schemeClr val="dk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 =</m:t>
                  </m:r>
                  <m:f>
                    <m:fPr>
                      <m:ctrlP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𝑃𝑥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∆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𝑥</m:t>
                      </m:r>
                    </m:num>
                    <m:den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𝑉𝑥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h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𝑥</m:t>
                      </m:r>
                    </m:den>
                  </m:f>
                </m:oMath>
              </a14:m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มยผ</a:t>
              </a:r>
              <a:r>
                <a:rPr lang="en-US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.1302</a:t>
              </a:r>
              <a:r>
                <a:rPr lang="en-US" sz="16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r>
                    <a:rPr lang="en-US" sz="1600" i="1">
                      <a:solidFill>
                        <a:schemeClr val="dk1"/>
                      </a:solidFill>
                      <a:effectLst/>
                      <a:latin typeface="Cambria Math"/>
                      <a:ea typeface="+mn-ea"/>
                      <a:cs typeface="+mn-cs"/>
                      <a:sym typeface="Symbol"/>
                    </a:rPr>
                    <m:t></m:t>
                  </m:r>
                  <m:r>
                    <a:rPr lang="en-US" sz="1600" i="1">
                      <a:solidFill>
                        <a:schemeClr val="dk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 =</m:t>
                  </m:r>
                  <m:f>
                    <m:fPr>
                      <m:ctrlP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𝑃𝑥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∆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𝑥</m:t>
                      </m:r>
                    </m:num>
                    <m:den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𝑉𝑥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h</m:t>
                      </m:r>
                      <m:r>
                        <a:rPr lang="en-US" sz="160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𝑥𝐶𝑑</m:t>
                      </m:r>
                    </m:den>
                  </m:f>
                </m:oMath>
              </a14:m>
              <a:endParaRPr lang="th-TH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th-TH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คือมีค่า </a:t>
              </a:r>
              <a:r>
                <a:rPr lang="en-US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Cd</a:t>
              </a:r>
              <a:r>
                <a:rPr lang="en-US" sz="16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th-TH" sz="16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มาเพิ่ม</a:t>
              </a: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Choice>
      <mc:Fallback xmlns="">
        <xdr:sp macro="" textlink="">
          <xdr:nvSpPr>
            <xdr:cNvPr id="42" name="TextBox 41"/>
            <xdr:cNvSpPr txBox="1"/>
          </xdr:nvSpPr>
          <xdr:spPr>
            <a:xfrm>
              <a:off x="7620000" y="69263557"/>
              <a:ext cx="2476500" cy="221876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/>
                <a:t>ความแตกต่างของ ค่า  </a:t>
              </a:r>
              <a:r>
                <a:rPr lang="th-TH" sz="1400">
                  <a:sym typeface="Symbol"/>
                </a:rPr>
                <a:t></a:t>
              </a:r>
            </a:p>
            <a:p>
              <a:endParaRPr lang="th-TH" sz="1400">
                <a:sym typeface="Symbol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400">
                  <a:sym typeface="Symbol"/>
                </a:rPr>
                <a:t>มยผ</a:t>
              </a:r>
              <a:r>
                <a:rPr lang="en-US" sz="1400">
                  <a:sym typeface="Symbol"/>
                </a:rPr>
                <a:t>.1301-55  </a:t>
              </a:r>
              <a:r>
                <a:rPr lang="en-US" sz="16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</a:t>
              </a:r>
              <a:r>
                <a:rPr lang="en-US" sz="16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=𝑃𝑥∆𝑥/𝑉𝑥ℎ𝑥</a:t>
              </a: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มยผ</a:t>
              </a:r>
              <a:r>
                <a:rPr lang="en-US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.1302</a:t>
              </a:r>
              <a:r>
                <a:rPr lang="en-US" sz="16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6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  <a:sym typeface="Symbol"/>
                </a:rPr>
                <a:t></a:t>
              </a:r>
              <a:r>
                <a:rPr lang="en-US" sz="16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=𝑃𝑥∆𝑥/𝑉𝑥ℎ𝑥</a:t>
              </a:r>
              <a:r>
                <a:rPr lang="en-US" sz="1600" b="0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𝐶𝑑</a:t>
              </a:r>
              <a:endParaRPr lang="th-TH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th-TH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th-TH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คือมีค่า </a:t>
              </a:r>
              <a:r>
                <a:rPr lang="en-US" sz="16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Cd</a:t>
              </a:r>
              <a:r>
                <a:rPr lang="en-US" sz="16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th-TH" sz="16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มาเพิ่ม</a:t>
              </a: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1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th-TH" sz="1100"/>
            </a:p>
          </xdr:txBody>
        </xdr:sp>
      </mc:Fallback>
    </mc:AlternateContent>
    <xdr:clientData/>
  </xdr:twoCellAnchor>
  <xdr:twoCellAnchor>
    <xdr:from>
      <xdr:col>8</xdr:col>
      <xdr:colOff>813708</xdr:colOff>
      <xdr:row>58</xdr:row>
      <xdr:rowOff>610184</xdr:rowOff>
    </xdr:from>
    <xdr:to>
      <xdr:col>10</xdr:col>
      <xdr:colOff>661147</xdr:colOff>
      <xdr:row>58</xdr:row>
      <xdr:rowOff>966010</xdr:rowOff>
    </xdr:to>
    <xdr:sp macro="" textlink="">
      <xdr:nvSpPr>
        <xdr:cNvPr id="53" name="TextBox 52"/>
        <xdr:cNvSpPr txBox="1"/>
      </xdr:nvSpPr>
      <xdr:spPr>
        <a:xfrm>
          <a:off x="8355267" y="17396596"/>
          <a:ext cx="1786056" cy="355826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ชั้นบนที่สุดต้องเป็น </a:t>
          </a:r>
          <a:r>
            <a:rPr lang="en-US" sz="1100"/>
            <a:t>0</a:t>
          </a:r>
          <a:r>
            <a:rPr lang="en-US" sz="1100" baseline="0"/>
            <a:t> </a:t>
          </a:r>
          <a:r>
            <a:rPr lang="th-TH" sz="1100" baseline="0"/>
            <a:t>เสมอ</a:t>
          </a:r>
        </a:p>
        <a:p>
          <a:endParaRPr lang="th-TH" sz="1100"/>
        </a:p>
      </xdr:txBody>
    </xdr:sp>
    <xdr:clientData/>
  </xdr:twoCellAnchor>
  <xdr:twoCellAnchor>
    <xdr:from>
      <xdr:col>4</xdr:col>
      <xdr:colOff>636795</xdr:colOff>
      <xdr:row>58</xdr:row>
      <xdr:rowOff>56026</xdr:rowOff>
    </xdr:from>
    <xdr:to>
      <xdr:col>6</xdr:col>
      <xdr:colOff>1049407</xdr:colOff>
      <xdr:row>58</xdr:row>
      <xdr:rowOff>425507</xdr:rowOff>
    </xdr:to>
    <xdr:sp macro="" textlink="">
      <xdr:nvSpPr>
        <xdr:cNvPr id="54" name="TextBox 53"/>
        <xdr:cNvSpPr txBox="1"/>
      </xdr:nvSpPr>
      <xdr:spPr>
        <a:xfrm>
          <a:off x="4110619" y="16842438"/>
          <a:ext cx="2440876" cy="36948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VX*(h </a:t>
          </a:r>
          <a:r>
            <a:rPr lang="th-TH" sz="1100" baseline="0"/>
            <a:t>ความสูงระหว่างชั้น)</a:t>
          </a:r>
          <a:r>
            <a:rPr lang="en-US" sz="1100" baseline="0"/>
            <a:t>+Mx</a:t>
          </a:r>
          <a:r>
            <a:rPr lang="th-TH" sz="1100" baseline="0"/>
            <a:t>ด้านบน</a:t>
          </a:r>
        </a:p>
        <a:p>
          <a:endParaRPr lang="th-TH" sz="1100" baseline="0"/>
        </a:p>
        <a:p>
          <a:endParaRPr lang="th-TH" sz="1100"/>
        </a:p>
      </xdr:txBody>
    </xdr:sp>
    <xdr:clientData/>
  </xdr:twoCellAnchor>
  <xdr:twoCellAnchor>
    <xdr:from>
      <xdr:col>6</xdr:col>
      <xdr:colOff>790016</xdr:colOff>
      <xdr:row>58</xdr:row>
      <xdr:rowOff>417019</xdr:rowOff>
    </xdr:from>
    <xdr:to>
      <xdr:col>8</xdr:col>
      <xdr:colOff>100853</xdr:colOff>
      <xdr:row>61</xdr:row>
      <xdr:rowOff>100853</xdr:rowOff>
    </xdr:to>
    <xdr:cxnSp macro="">
      <xdr:nvCxnSpPr>
        <xdr:cNvPr id="55" name="ลูกศรเชื่อมต่อแบบตรง 54"/>
        <xdr:cNvCxnSpPr/>
      </xdr:nvCxnSpPr>
      <xdr:spPr>
        <a:xfrm>
          <a:off x="6292104" y="17203431"/>
          <a:ext cx="1350308" cy="12862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67235</xdr:colOff>
      <xdr:row>57</xdr:row>
      <xdr:rowOff>100853</xdr:rowOff>
    </xdr:from>
    <xdr:to>
      <xdr:col>9</xdr:col>
      <xdr:colOff>731584</xdr:colOff>
      <xdr:row>58</xdr:row>
      <xdr:rowOff>537881</xdr:rowOff>
    </xdr:to>
    <xdr:sp macro="" textlink="">
      <xdr:nvSpPr>
        <xdr:cNvPr id="56" name="TextBox 55"/>
        <xdr:cNvSpPr txBox="1"/>
      </xdr:nvSpPr>
      <xdr:spPr>
        <a:xfrm>
          <a:off x="6757147" y="16595912"/>
          <a:ext cx="2367643" cy="72838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กรอกค่า</a:t>
          </a:r>
          <a:r>
            <a:rPr lang="th-TH" sz="1100" baseline="0"/>
            <a:t> </a:t>
          </a:r>
          <a:r>
            <a:rPr lang="en-US" sz="1100" baseline="0"/>
            <a:t>1 </a:t>
          </a:r>
          <a:r>
            <a:rPr lang="th-TH" sz="1100" baseline="0"/>
            <a:t>เมือมีชั้นของอาคารในช่อง</a:t>
          </a:r>
        </a:p>
        <a:p>
          <a:endParaRPr lang="th-TH" sz="1100" baseline="0"/>
        </a:p>
        <a:p>
          <a:r>
            <a:rPr lang="th-TH" sz="1100" baseline="0"/>
            <a:t>กรอกค่า </a:t>
          </a:r>
          <a:r>
            <a:rPr lang="en-US" sz="1100" baseline="0"/>
            <a:t>0 </a:t>
          </a:r>
          <a:r>
            <a:rPr lang="th-TH" sz="1100" baseline="0"/>
            <a:t>เมื่อไม่มีชั้นจำนวนในช่อง</a:t>
          </a:r>
          <a:endParaRPr lang="th-TH" sz="1100"/>
        </a:p>
      </xdr:txBody>
    </xdr:sp>
    <xdr:clientData/>
  </xdr:twoCellAnchor>
  <xdr:twoCellAnchor>
    <xdr:from>
      <xdr:col>7</xdr:col>
      <xdr:colOff>332854</xdr:colOff>
      <xdr:row>58</xdr:row>
      <xdr:rowOff>549086</xdr:rowOff>
    </xdr:from>
    <xdr:to>
      <xdr:col>7</xdr:col>
      <xdr:colOff>336177</xdr:colOff>
      <xdr:row>59</xdr:row>
      <xdr:rowOff>224118</xdr:rowOff>
    </xdr:to>
    <xdr:cxnSp macro="">
      <xdr:nvCxnSpPr>
        <xdr:cNvPr id="57" name="ลูกศรเชื่อมต่อแบบตรง 56"/>
        <xdr:cNvCxnSpPr/>
      </xdr:nvCxnSpPr>
      <xdr:spPr>
        <a:xfrm flipH="1">
          <a:off x="7022766" y="17335498"/>
          <a:ext cx="3323" cy="78441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549088</xdr:colOff>
      <xdr:row>58</xdr:row>
      <xdr:rowOff>788097</xdr:rowOff>
    </xdr:from>
    <xdr:to>
      <xdr:col>8</xdr:col>
      <xdr:colOff>813708</xdr:colOff>
      <xdr:row>60</xdr:row>
      <xdr:rowOff>44823</xdr:rowOff>
    </xdr:to>
    <xdr:cxnSp macro="">
      <xdr:nvCxnSpPr>
        <xdr:cNvPr id="59" name="ลูกศรเชื่อมต่อแบบตรง 58"/>
        <xdr:cNvCxnSpPr>
          <a:stCxn id="53" idx="1"/>
        </xdr:cNvCxnSpPr>
      </xdr:nvCxnSpPr>
      <xdr:spPr>
        <a:xfrm flipH="1">
          <a:off x="8090647" y="17574509"/>
          <a:ext cx="264620" cy="61263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503464</xdr:colOff>
      <xdr:row>331</xdr:row>
      <xdr:rowOff>285750</xdr:rowOff>
    </xdr:from>
    <xdr:to>
      <xdr:col>3</xdr:col>
      <xdr:colOff>326573</xdr:colOff>
      <xdr:row>333</xdr:row>
      <xdr:rowOff>27214</xdr:rowOff>
    </xdr:to>
    <xdr:sp macro="" textlink="">
      <xdr:nvSpPr>
        <xdr:cNvPr id="64" name="สี่เหลี่ยมผืนผ้า 63"/>
        <xdr:cNvSpPr/>
      </xdr:nvSpPr>
      <xdr:spPr>
        <a:xfrm>
          <a:off x="2272393" y="98474893"/>
          <a:ext cx="666751" cy="340178"/>
        </a:xfrm>
        <a:prstGeom prst="rect">
          <a:avLst/>
        </a:prstGeom>
        <a:pattFill prst="wdUpDiag">
          <a:fgClr>
            <a:schemeClr val="tx1"/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5</xdr:col>
      <xdr:colOff>710294</xdr:colOff>
      <xdr:row>332</xdr:row>
      <xdr:rowOff>16328</xdr:rowOff>
    </xdr:from>
    <xdr:to>
      <xdr:col>6</xdr:col>
      <xdr:colOff>410937</xdr:colOff>
      <xdr:row>333</xdr:row>
      <xdr:rowOff>29935</xdr:rowOff>
    </xdr:to>
    <xdr:sp macro="" textlink="">
      <xdr:nvSpPr>
        <xdr:cNvPr id="65" name="สี่เหลี่ยมผืนผ้า 64"/>
        <xdr:cNvSpPr/>
      </xdr:nvSpPr>
      <xdr:spPr>
        <a:xfrm>
          <a:off x="5482319" y="51918053"/>
          <a:ext cx="757918" cy="308882"/>
        </a:xfrm>
        <a:prstGeom prst="rect">
          <a:avLst/>
        </a:prstGeom>
        <a:pattFill prst="wdUpDiag">
          <a:fgClr>
            <a:schemeClr val="tx1"/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1211036</xdr:colOff>
      <xdr:row>333</xdr:row>
      <xdr:rowOff>190500</xdr:rowOff>
    </xdr:from>
    <xdr:to>
      <xdr:col>6</xdr:col>
      <xdr:colOff>40822</xdr:colOff>
      <xdr:row>333</xdr:row>
      <xdr:rowOff>190500</xdr:rowOff>
    </xdr:to>
    <xdr:cxnSp macro="">
      <xdr:nvCxnSpPr>
        <xdr:cNvPr id="66" name="ลูกศรเชื่อมต่อแบบตรง 65"/>
        <xdr:cNvCxnSpPr/>
      </xdr:nvCxnSpPr>
      <xdr:spPr>
        <a:xfrm>
          <a:off x="4763861" y="52387500"/>
          <a:ext cx="1106261" cy="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14967</xdr:colOff>
      <xdr:row>333</xdr:row>
      <xdr:rowOff>163286</xdr:rowOff>
    </xdr:from>
    <xdr:to>
      <xdr:col>4</xdr:col>
      <xdr:colOff>27214</xdr:colOff>
      <xdr:row>333</xdr:row>
      <xdr:rowOff>163287</xdr:rowOff>
    </xdr:to>
    <xdr:cxnSp macro="">
      <xdr:nvCxnSpPr>
        <xdr:cNvPr id="67" name="ลูกศรเชื่อมต่อแบบตรง 66"/>
        <xdr:cNvCxnSpPr/>
      </xdr:nvCxnSpPr>
      <xdr:spPr>
        <a:xfrm flipH="1">
          <a:off x="2500992" y="52360286"/>
          <a:ext cx="1079047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508588</xdr:colOff>
      <xdr:row>331</xdr:row>
      <xdr:rowOff>170809</xdr:rowOff>
    </xdr:from>
    <xdr:to>
      <xdr:col>7</xdr:col>
      <xdr:colOff>2401</xdr:colOff>
      <xdr:row>331</xdr:row>
      <xdr:rowOff>170809</xdr:rowOff>
    </xdr:to>
    <xdr:cxnSp macro="">
      <xdr:nvCxnSpPr>
        <xdr:cNvPr id="68" name="ลูกศรเชื่อมต่อแบบตรง 67"/>
        <xdr:cNvCxnSpPr/>
      </xdr:nvCxnSpPr>
      <xdr:spPr>
        <a:xfrm flipH="1">
          <a:off x="5280613" y="51777259"/>
          <a:ext cx="1532163" cy="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537223</xdr:colOff>
      <xdr:row>331</xdr:row>
      <xdr:rowOff>161016</xdr:rowOff>
    </xdr:from>
    <xdr:to>
      <xdr:col>3</xdr:col>
      <xdr:colOff>232489</xdr:colOff>
      <xdr:row>332</xdr:row>
      <xdr:rowOff>284734</xdr:rowOff>
    </xdr:to>
    <xdr:sp macro="" textlink="">
      <xdr:nvSpPr>
        <xdr:cNvPr id="69" name="ลูกศรโค้งลง 68"/>
        <xdr:cNvSpPr/>
      </xdr:nvSpPr>
      <xdr:spPr>
        <a:xfrm>
          <a:off x="1946923" y="51767466"/>
          <a:ext cx="771591" cy="418993"/>
        </a:xfrm>
        <a:prstGeom prst="curved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th-TH"/>
        </a:p>
      </xdr:txBody>
    </xdr:sp>
    <xdr:clientData/>
  </xdr:twoCellAnchor>
  <xdr:twoCellAnchor>
    <xdr:from>
      <xdr:col>2</xdr:col>
      <xdr:colOff>498531</xdr:colOff>
      <xdr:row>336</xdr:row>
      <xdr:rowOff>13462</xdr:rowOff>
    </xdr:from>
    <xdr:to>
      <xdr:col>8</xdr:col>
      <xdr:colOff>68035</xdr:colOff>
      <xdr:row>337</xdr:row>
      <xdr:rowOff>226229</xdr:rowOff>
    </xdr:to>
    <xdr:sp macro="" textlink="">
      <xdr:nvSpPr>
        <xdr:cNvPr id="70" name="TextBox 69"/>
        <xdr:cNvSpPr txBox="1"/>
      </xdr:nvSpPr>
      <xdr:spPr>
        <a:xfrm>
          <a:off x="2267460" y="99740212"/>
          <a:ext cx="5325325" cy="51212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แรงแผ่นดินไหวในประเทศไทยจะมีค่าไม่เกิน</a:t>
          </a:r>
          <a:r>
            <a:rPr lang="en-US" sz="1800"/>
            <a:t> 6.0 </a:t>
          </a:r>
          <a:r>
            <a:rPr lang="th-TH" sz="1800"/>
            <a:t>ริคเตอร์</a:t>
          </a:r>
          <a:endParaRPr lang="th-TH" sz="1800" baseline="0"/>
        </a:p>
        <a:p>
          <a:endParaRPr lang="th-TH" sz="1800"/>
        </a:p>
      </xdr:txBody>
    </xdr:sp>
    <xdr:clientData/>
  </xdr:twoCellAnchor>
  <xdr:twoCellAnchor>
    <xdr:from>
      <xdr:col>6</xdr:col>
      <xdr:colOff>704851</xdr:colOff>
      <xdr:row>326</xdr:row>
      <xdr:rowOff>171450</xdr:rowOff>
    </xdr:from>
    <xdr:to>
      <xdr:col>10</xdr:col>
      <xdr:colOff>561976</xdr:colOff>
      <xdr:row>328</xdr:row>
      <xdr:rowOff>89808</xdr:rowOff>
    </xdr:to>
    <xdr:sp macro="" textlink="">
      <xdr:nvSpPr>
        <xdr:cNvPr id="73" name="TextBox 72"/>
        <xdr:cNvSpPr txBox="1"/>
      </xdr:nvSpPr>
      <xdr:spPr>
        <a:xfrm>
          <a:off x="6534151" y="50292000"/>
          <a:ext cx="3752850" cy="50890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รูปไม่ได้มาตราส่วนให้ดูที่ตัวเลขเท่านั้น</a:t>
          </a:r>
          <a:endParaRPr lang="th-TH" sz="1800" baseline="0"/>
        </a:p>
        <a:p>
          <a:endParaRPr lang="th-TH" sz="1800"/>
        </a:p>
      </xdr:txBody>
    </xdr:sp>
    <xdr:clientData/>
  </xdr:twoCellAnchor>
  <xdr:twoCellAnchor>
    <xdr:from>
      <xdr:col>2</xdr:col>
      <xdr:colOff>261257</xdr:colOff>
      <xdr:row>326</xdr:row>
      <xdr:rowOff>21771</xdr:rowOff>
    </xdr:from>
    <xdr:to>
      <xdr:col>2</xdr:col>
      <xdr:colOff>843643</xdr:colOff>
      <xdr:row>330</xdr:row>
      <xdr:rowOff>285750</xdr:rowOff>
    </xdr:to>
    <xdr:grpSp>
      <xdr:nvGrpSpPr>
        <xdr:cNvPr id="74" name="กลุ่ม 73"/>
        <xdr:cNvGrpSpPr/>
      </xdr:nvGrpSpPr>
      <xdr:grpSpPr>
        <a:xfrm>
          <a:off x="2032907" y="95690871"/>
          <a:ext cx="582386" cy="1445079"/>
          <a:chOff x="1676400" y="49796700"/>
          <a:chExt cx="696686" cy="1461407"/>
        </a:xfrm>
      </xdr:grpSpPr>
      <xdr:cxnSp macro="">
        <xdr:nvCxnSpPr>
          <xdr:cNvPr id="75" name="ลูกศรเชื่อมต่อแบบตรง 74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6" name="ลูกศรเชื่อมต่อแบบตรง 75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7" name="ลูกศรเชื่อมต่อแบบตรง 76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8" name="ลูกศรเชื่อมต่อแบบตรง 77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9" name="ลูกศรเชื่อมต่อแบบตรง 78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0" name="ลูกศรเชื่อมต่อแบบตรง 79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291192</xdr:colOff>
      <xdr:row>320</xdr:row>
      <xdr:rowOff>65314</xdr:rowOff>
    </xdr:from>
    <xdr:to>
      <xdr:col>2</xdr:col>
      <xdr:colOff>845003</xdr:colOff>
      <xdr:row>325</xdr:row>
      <xdr:rowOff>29936</xdr:rowOff>
    </xdr:to>
    <xdr:grpSp>
      <xdr:nvGrpSpPr>
        <xdr:cNvPr id="81" name="กลุ่ม 80"/>
        <xdr:cNvGrpSpPr/>
      </xdr:nvGrpSpPr>
      <xdr:grpSpPr>
        <a:xfrm>
          <a:off x="2062842" y="93962764"/>
          <a:ext cx="553811" cy="1440997"/>
          <a:chOff x="1676400" y="49796700"/>
          <a:chExt cx="696686" cy="1461407"/>
        </a:xfrm>
      </xdr:grpSpPr>
      <xdr:cxnSp macro="">
        <xdr:nvCxnSpPr>
          <xdr:cNvPr id="82" name="ลูกศรเชื่อมต่อแบบตรง 81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3" name="ลูกศรเชื่อมต่อแบบตรง 82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4" name="ลูกศรเชื่อมต่อแบบตรง 83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5" name="ลูกศรเชื่อมต่อแบบตรง 84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ลูกศรเชื่อมต่อแบบตรง 85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7" name="ลูกศรเชื่อมต่อแบบตรง 86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291194</xdr:colOff>
      <xdr:row>314</xdr:row>
      <xdr:rowOff>24492</xdr:rowOff>
    </xdr:from>
    <xdr:to>
      <xdr:col>2</xdr:col>
      <xdr:colOff>845005</xdr:colOff>
      <xdr:row>318</xdr:row>
      <xdr:rowOff>288471</xdr:rowOff>
    </xdr:to>
    <xdr:grpSp>
      <xdr:nvGrpSpPr>
        <xdr:cNvPr id="88" name="กลุ่ม 87"/>
        <xdr:cNvGrpSpPr/>
      </xdr:nvGrpSpPr>
      <xdr:grpSpPr>
        <a:xfrm>
          <a:off x="2062844" y="92150292"/>
          <a:ext cx="553811" cy="1445079"/>
          <a:chOff x="1676400" y="49796700"/>
          <a:chExt cx="696686" cy="1461407"/>
        </a:xfrm>
      </xdr:grpSpPr>
      <xdr:cxnSp macro="">
        <xdr:nvCxnSpPr>
          <xdr:cNvPr id="89" name="ลูกศรเชื่อมต่อแบบตรง 88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ลูกศรเชื่อมต่อแบบตรง 89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1" name="ลูกศรเชื่อมต่อแบบตรง 90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2" name="ลูกศรเชื่อมต่อแบบตรง 91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3" name="ลูกศรเชื่อมต่อแบบตรง 92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4" name="ลูกศรเชื่อมต่อแบบตรง 93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321129</xdr:colOff>
      <xdr:row>308</xdr:row>
      <xdr:rowOff>40821</xdr:rowOff>
    </xdr:from>
    <xdr:to>
      <xdr:col>2</xdr:col>
      <xdr:colOff>846365</xdr:colOff>
      <xdr:row>313</xdr:row>
      <xdr:rowOff>32656</xdr:rowOff>
    </xdr:to>
    <xdr:grpSp>
      <xdr:nvGrpSpPr>
        <xdr:cNvPr id="95" name="กลุ่ม 94"/>
        <xdr:cNvGrpSpPr/>
      </xdr:nvGrpSpPr>
      <xdr:grpSpPr>
        <a:xfrm>
          <a:off x="2092779" y="90394971"/>
          <a:ext cx="525236" cy="1468210"/>
          <a:chOff x="1676400" y="49796700"/>
          <a:chExt cx="696686" cy="1461407"/>
        </a:xfrm>
      </xdr:grpSpPr>
      <xdr:cxnSp macro="">
        <xdr:nvCxnSpPr>
          <xdr:cNvPr id="96" name="ลูกศรเชื่อมต่อแบบตรง 95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7" name="ลูกศรเชื่อมต่อแบบตรง 96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8" name="ลูกศรเชื่อมต่อแบบตรง 97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9" name="ลูกศรเชื่อมต่อแบบตรง 98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0" name="ลูกศรเชื่อมต่อแบบตรง 99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1" name="ลูกศรเชื่อมต่อแบบตรง 100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293916</xdr:colOff>
      <xdr:row>301</xdr:row>
      <xdr:rowOff>176892</xdr:rowOff>
    </xdr:from>
    <xdr:to>
      <xdr:col>3</xdr:col>
      <xdr:colOff>2</xdr:colOff>
      <xdr:row>307</xdr:row>
      <xdr:rowOff>5442</xdr:rowOff>
    </xdr:to>
    <xdr:grpSp>
      <xdr:nvGrpSpPr>
        <xdr:cNvPr id="102" name="กลุ่ม 101"/>
        <xdr:cNvGrpSpPr/>
      </xdr:nvGrpSpPr>
      <xdr:grpSpPr>
        <a:xfrm>
          <a:off x="2065566" y="88464117"/>
          <a:ext cx="553811" cy="1600200"/>
          <a:chOff x="1676400" y="49796700"/>
          <a:chExt cx="696686" cy="1461407"/>
        </a:xfrm>
      </xdr:grpSpPr>
      <xdr:cxnSp macro="">
        <xdr:nvCxnSpPr>
          <xdr:cNvPr id="103" name="ลูกศรเชื่อมต่อแบบตรง 102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4" name="ลูกศรเชื่อมต่อแบบตรง 103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5" name="ลูกศรเชื่อมต่อแบบตรง 104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6" name="ลูกศรเชื่อมต่อแบบตรง 105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7" name="ลูกศรเชื่อมต่อแบบตรง 106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8" name="ลูกศรเชื่อมต่อแบบตรง 107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323851</xdr:colOff>
      <xdr:row>295</xdr:row>
      <xdr:rowOff>57149</xdr:rowOff>
    </xdr:from>
    <xdr:to>
      <xdr:col>3</xdr:col>
      <xdr:colOff>1362</xdr:colOff>
      <xdr:row>300</xdr:row>
      <xdr:rowOff>157842</xdr:rowOff>
    </xdr:to>
    <xdr:grpSp>
      <xdr:nvGrpSpPr>
        <xdr:cNvPr id="109" name="กลุ่ม 108"/>
        <xdr:cNvGrpSpPr/>
      </xdr:nvGrpSpPr>
      <xdr:grpSpPr>
        <a:xfrm>
          <a:off x="2095501" y="86572724"/>
          <a:ext cx="525236" cy="1577068"/>
          <a:chOff x="1676400" y="49796700"/>
          <a:chExt cx="696686" cy="1461407"/>
        </a:xfrm>
      </xdr:grpSpPr>
      <xdr:cxnSp macro="">
        <xdr:nvCxnSpPr>
          <xdr:cNvPr id="110" name="ลูกศรเชื่อมต่อแบบตรง 109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1" name="ลูกศรเชื่อมต่อแบบตรง 110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2" name="ลูกศรเชื่อมต่อแบบตรง 111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3" name="ลูกศรเชื่อมต่อแบบตรง 112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4" name="ลูกศรเชื่อมต่อแบบตรง 113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5" name="ลูกศรเชื่อมต่อแบบตรง 114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312966</xdr:colOff>
      <xdr:row>291</xdr:row>
      <xdr:rowOff>0</xdr:rowOff>
    </xdr:from>
    <xdr:to>
      <xdr:col>3</xdr:col>
      <xdr:colOff>2</xdr:colOff>
      <xdr:row>294</xdr:row>
      <xdr:rowOff>51707</xdr:rowOff>
    </xdr:to>
    <xdr:grpSp>
      <xdr:nvGrpSpPr>
        <xdr:cNvPr id="116" name="กลุ่ม 115"/>
        <xdr:cNvGrpSpPr/>
      </xdr:nvGrpSpPr>
      <xdr:grpSpPr>
        <a:xfrm>
          <a:off x="2084616" y="85334475"/>
          <a:ext cx="534761" cy="937532"/>
          <a:chOff x="1676400" y="50389972"/>
          <a:chExt cx="696686" cy="868135"/>
        </a:xfrm>
      </xdr:grpSpPr>
      <xdr:cxnSp macro="">
        <xdr:nvCxnSpPr>
          <xdr:cNvPr id="117" name="ลูกศรเชื่อมต่อแบบตรง 116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8" name="ลูกศรเชื่อมต่อแบบตรง 117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9" name="ลูกศรเชื่อมต่อแบบตรง 118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0" name="ลูกศรเชื่อมต่อแบบตรง 119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-1</xdr:colOff>
      <xdr:row>291</xdr:row>
      <xdr:rowOff>27214</xdr:rowOff>
    </xdr:from>
    <xdr:to>
      <xdr:col>6</xdr:col>
      <xdr:colOff>312964</xdr:colOff>
      <xdr:row>330</xdr:row>
      <xdr:rowOff>295275</xdr:rowOff>
    </xdr:to>
    <xdr:sp macro="" textlink="">
      <xdr:nvSpPr>
        <xdr:cNvPr id="122" name="รูปแบบอิสระ 121"/>
        <xdr:cNvSpPr/>
      </xdr:nvSpPr>
      <xdr:spPr>
        <a:xfrm>
          <a:off x="5483678" y="86242071"/>
          <a:ext cx="312965" cy="11942990"/>
        </a:xfrm>
        <a:custGeom>
          <a:avLst/>
          <a:gdLst>
            <a:gd name="connsiteX0" fmla="*/ 0 w 334792"/>
            <a:gd name="connsiteY0" fmla="*/ 3238500 h 3238500"/>
            <a:gd name="connsiteX1" fmla="*/ 333375 w 334792"/>
            <a:gd name="connsiteY1" fmla="*/ 0 h 3238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34792" h="3238500">
              <a:moveTo>
                <a:pt x="0" y="3238500"/>
              </a:moveTo>
              <a:cubicBezTo>
                <a:pt x="176212" y="1906587"/>
                <a:pt x="352425" y="574675"/>
                <a:pt x="333375" y="0"/>
              </a:cubicBezTo>
            </a:path>
          </a:pathLst>
        </a:cu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11</xdr:col>
      <xdr:colOff>155864</xdr:colOff>
      <xdr:row>0</xdr:row>
      <xdr:rowOff>0</xdr:rowOff>
    </xdr:from>
    <xdr:to>
      <xdr:col>11</xdr:col>
      <xdr:colOff>4590524</xdr:colOff>
      <xdr:row>8</xdr:row>
      <xdr:rowOff>86591</xdr:rowOff>
    </xdr:to>
    <xdr:pic>
      <xdr:nvPicPr>
        <xdr:cNvPr id="123" name="รูปภาพ 12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413" t="20363" r="12142" b="25180"/>
        <a:stretch/>
      </xdr:blipFill>
      <xdr:spPr>
        <a:xfrm>
          <a:off x="10477500" y="0"/>
          <a:ext cx="4434660" cy="2493818"/>
        </a:xfrm>
        <a:prstGeom prst="rect">
          <a:avLst/>
        </a:prstGeom>
      </xdr:spPr>
    </xdr:pic>
    <xdr:clientData/>
  </xdr:twoCellAnchor>
  <xdr:twoCellAnchor>
    <xdr:from>
      <xdr:col>6</xdr:col>
      <xdr:colOff>280147</xdr:colOff>
      <xdr:row>304</xdr:row>
      <xdr:rowOff>144533</xdr:rowOff>
    </xdr:from>
    <xdr:to>
      <xdr:col>10</xdr:col>
      <xdr:colOff>728382</xdr:colOff>
      <xdr:row>313</xdr:row>
      <xdr:rowOff>54348</xdr:rowOff>
    </xdr:to>
    <xdr:grpSp>
      <xdr:nvGrpSpPr>
        <xdr:cNvPr id="150" name="กลุ่ม 149"/>
        <xdr:cNvGrpSpPr/>
      </xdr:nvGrpSpPr>
      <xdr:grpSpPr>
        <a:xfrm>
          <a:off x="5928472" y="89317583"/>
          <a:ext cx="4420160" cy="2567290"/>
          <a:chOff x="5782235" y="88581357"/>
          <a:chExt cx="4426323" cy="2632844"/>
        </a:xfrm>
      </xdr:grpSpPr>
      <xdr:grpSp>
        <xdr:nvGrpSpPr>
          <xdr:cNvPr id="140" name="กลุ่ม 139"/>
          <xdr:cNvGrpSpPr/>
        </xdr:nvGrpSpPr>
        <xdr:grpSpPr>
          <a:xfrm>
            <a:off x="5782235" y="88581357"/>
            <a:ext cx="4426323" cy="2632844"/>
            <a:chOff x="5762975" y="91947674"/>
            <a:chExt cx="4413016" cy="2642299"/>
          </a:xfrm>
        </xdr:grpSpPr>
        <xdr:grpSp>
          <xdr:nvGrpSpPr>
            <xdr:cNvPr id="131" name="กลุ่ม 130"/>
            <xdr:cNvGrpSpPr/>
          </xdr:nvGrpSpPr>
          <xdr:grpSpPr>
            <a:xfrm>
              <a:off x="5762975" y="91947674"/>
              <a:ext cx="4413016" cy="2642299"/>
              <a:chOff x="5778371" y="91425236"/>
              <a:chExt cx="4415890" cy="2629366"/>
            </a:xfrm>
          </xdr:grpSpPr>
          <xdr:pic>
            <xdr:nvPicPr>
              <xdr:cNvPr id="124" name="รูปภาพ 123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778371" y="91425236"/>
                <a:ext cx="4415890" cy="2629366"/>
              </a:xfrm>
              <a:prstGeom prst="rect">
                <a:avLst/>
              </a:prstGeom>
            </xdr:spPr>
          </xdr:pic>
          <xdr:sp macro="" textlink="">
            <xdr:nvSpPr>
              <xdr:cNvPr id="126" name="รูปแบบอิสระ 125"/>
              <xdr:cNvSpPr/>
            </xdr:nvSpPr>
            <xdr:spPr>
              <a:xfrm>
                <a:off x="6910552" y="92865466"/>
                <a:ext cx="945931" cy="788275"/>
              </a:xfrm>
              <a:custGeom>
                <a:avLst/>
                <a:gdLst>
                  <a:gd name="connsiteX0" fmla="*/ 19707 w 945931"/>
                  <a:gd name="connsiteY0" fmla="*/ 788275 h 788275"/>
                  <a:gd name="connsiteX1" fmla="*/ 98534 w 945931"/>
                  <a:gd name="connsiteY1" fmla="*/ 748862 h 788275"/>
                  <a:gd name="connsiteX2" fmla="*/ 98534 w 945931"/>
                  <a:gd name="connsiteY2" fmla="*/ 716017 h 788275"/>
                  <a:gd name="connsiteX3" fmla="*/ 157655 w 945931"/>
                  <a:gd name="connsiteY3" fmla="*/ 722586 h 788275"/>
                  <a:gd name="connsiteX4" fmla="*/ 183931 w 945931"/>
                  <a:gd name="connsiteY4" fmla="*/ 696310 h 788275"/>
                  <a:gd name="connsiteX5" fmla="*/ 256189 w 945931"/>
                  <a:gd name="connsiteY5" fmla="*/ 637189 h 788275"/>
                  <a:gd name="connsiteX6" fmla="*/ 269327 w 945931"/>
                  <a:gd name="connsiteY6" fmla="*/ 578068 h 788275"/>
                  <a:gd name="connsiteX7" fmla="*/ 302172 w 945931"/>
                  <a:gd name="connsiteY7" fmla="*/ 578068 h 788275"/>
                  <a:gd name="connsiteX8" fmla="*/ 328448 w 945931"/>
                  <a:gd name="connsiteY8" fmla="*/ 532086 h 788275"/>
                  <a:gd name="connsiteX9" fmla="*/ 532086 w 945931"/>
                  <a:gd name="connsiteY9" fmla="*/ 440120 h 788275"/>
                  <a:gd name="connsiteX10" fmla="*/ 729155 w 945931"/>
                  <a:gd name="connsiteY10" fmla="*/ 394137 h 788275"/>
                  <a:gd name="connsiteX11" fmla="*/ 742293 w 945931"/>
                  <a:gd name="connsiteY11" fmla="*/ 354724 h 788275"/>
                  <a:gd name="connsiteX12" fmla="*/ 821120 w 945931"/>
                  <a:gd name="connsiteY12" fmla="*/ 394137 h 788275"/>
                  <a:gd name="connsiteX13" fmla="*/ 926224 w 945931"/>
                  <a:gd name="connsiteY13" fmla="*/ 354724 h 788275"/>
                  <a:gd name="connsiteX14" fmla="*/ 932793 w 945931"/>
                  <a:gd name="connsiteY14" fmla="*/ 302172 h 788275"/>
                  <a:gd name="connsiteX15" fmla="*/ 945931 w 945931"/>
                  <a:gd name="connsiteY15" fmla="*/ 282465 h 788275"/>
                  <a:gd name="connsiteX16" fmla="*/ 932793 w 945931"/>
                  <a:gd name="connsiteY16" fmla="*/ 249620 h 788275"/>
                  <a:gd name="connsiteX17" fmla="*/ 893379 w 945931"/>
                  <a:gd name="connsiteY17" fmla="*/ 249620 h 788275"/>
                  <a:gd name="connsiteX18" fmla="*/ 873672 w 945931"/>
                  <a:gd name="connsiteY18" fmla="*/ 157655 h 788275"/>
                  <a:gd name="connsiteX19" fmla="*/ 821120 w 945931"/>
                  <a:gd name="connsiteY19" fmla="*/ 118241 h 788275"/>
                  <a:gd name="connsiteX20" fmla="*/ 801414 w 945931"/>
                  <a:gd name="connsiteY20" fmla="*/ 45982 h 788275"/>
                  <a:gd name="connsiteX21" fmla="*/ 807982 w 945931"/>
                  <a:gd name="connsiteY21" fmla="*/ 6568 h 788275"/>
                  <a:gd name="connsiteX22" fmla="*/ 762000 w 945931"/>
                  <a:gd name="connsiteY22" fmla="*/ 0 h 788275"/>
                  <a:gd name="connsiteX23" fmla="*/ 716017 w 945931"/>
                  <a:gd name="connsiteY23" fmla="*/ 13137 h 788275"/>
                  <a:gd name="connsiteX24" fmla="*/ 696310 w 945931"/>
                  <a:gd name="connsiteY24" fmla="*/ 45982 h 788275"/>
                  <a:gd name="connsiteX25" fmla="*/ 670034 w 945931"/>
                  <a:gd name="connsiteY25" fmla="*/ 65689 h 788275"/>
                  <a:gd name="connsiteX26" fmla="*/ 630620 w 945931"/>
                  <a:gd name="connsiteY26" fmla="*/ 52551 h 788275"/>
                  <a:gd name="connsiteX27" fmla="*/ 571500 w 945931"/>
                  <a:gd name="connsiteY27" fmla="*/ 85396 h 788275"/>
                  <a:gd name="connsiteX28" fmla="*/ 571500 w 945931"/>
                  <a:gd name="connsiteY28" fmla="*/ 85396 h 788275"/>
                  <a:gd name="connsiteX29" fmla="*/ 532086 w 945931"/>
                  <a:gd name="connsiteY29" fmla="*/ 65689 h 788275"/>
                  <a:gd name="connsiteX30" fmla="*/ 492672 w 945931"/>
                  <a:gd name="connsiteY30" fmla="*/ 52551 h 788275"/>
                  <a:gd name="connsiteX31" fmla="*/ 466396 w 945931"/>
                  <a:gd name="connsiteY31" fmla="*/ 59120 h 788275"/>
                  <a:gd name="connsiteX32" fmla="*/ 400707 w 945931"/>
                  <a:gd name="connsiteY32" fmla="*/ 118241 h 788275"/>
                  <a:gd name="connsiteX33" fmla="*/ 374431 w 945931"/>
                  <a:gd name="connsiteY33" fmla="*/ 85396 h 788275"/>
                  <a:gd name="connsiteX34" fmla="*/ 321879 w 945931"/>
                  <a:gd name="connsiteY34" fmla="*/ 137948 h 788275"/>
                  <a:gd name="connsiteX35" fmla="*/ 302172 w 945931"/>
                  <a:gd name="connsiteY35" fmla="*/ 151086 h 788275"/>
                  <a:gd name="connsiteX36" fmla="*/ 315310 w 945931"/>
                  <a:gd name="connsiteY36" fmla="*/ 170793 h 788275"/>
                  <a:gd name="connsiteX37" fmla="*/ 315310 w 945931"/>
                  <a:gd name="connsiteY37" fmla="*/ 223344 h 788275"/>
                  <a:gd name="connsiteX38" fmla="*/ 321879 w 945931"/>
                  <a:gd name="connsiteY38" fmla="*/ 289034 h 788275"/>
                  <a:gd name="connsiteX39" fmla="*/ 295603 w 945931"/>
                  <a:gd name="connsiteY39" fmla="*/ 341586 h 788275"/>
                  <a:gd name="connsiteX40" fmla="*/ 249620 w 945931"/>
                  <a:gd name="connsiteY40" fmla="*/ 348155 h 788275"/>
                  <a:gd name="connsiteX41" fmla="*/ 216776 w 945931"/>
                  <a:gd name="connsiteY41" fmla="*/ 361293 h 788275"/>
                  <a:gd name="connsiteX42" fmla="*/ 197069 w 945931"/>
                  <a:gd name="connsiteY42" fmla="*/ 381000 h 788275"/>
                  <a:gd name="connsiteX43" fmla="*/ 157655 w 945931"/>
                  <a:gd name="connsiteY43" fmla="*/ 361293 h 788275"/>
                  <a:gd name="connsiteX44" fmla="*/ 111672 w 945931"/>
                  <a:gd name="connsiteY44" fmla="*/ 328448 h 788275"/>
                  <a:gd name="connsiteX45" fmla="*/ 105103 w 945931"/>
                  <a:gd name="connsiteY45" fmla="*/ 354724 h 788275"/>
                  <a:gd name="connsiteX46" fmla="*/ 78827 w 945931"/>
                  <a:gd name="connsiteY46" fmla="*/ 407275 h 788275"/>
                  <a:gd name="connsiteX47" fmla="*/ 78827 w 945931"/>
                  <a:gd name="connsiteY47" fmla="*/ 446689 h 788275"/>
                  <a:gd name="connsiteX48" fmla="*/ 19707 w 945931"/>
                  <a:gd name="connsiteY48" fmla="*/ 597775 h 788275"/>
                  <a:gd name="connsiteX49" fmla="*/ 0 w 945931"/>
                  <a:gd name="connsiteY49" fmla="*/ 696310 h 788275"/>
                  <a:gd name="connsiteX50" fmla="*/ 19707 w 945931"/>
                  <a:gd name="connsiteY50" fmla="*/ 788275 h 788275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</a:cxnLst>
                <a:rect l="l" t="t" r="r" b="b"/>
                <a:pathLst>
                  <a:path w="945931" h="788275">
                    <a:moveTo>
                      <a:pt x="19707" y="788275"/>
                    </a:moveTo>
                    <a:lnTo>
                      <a:pt x="98534" y="748862"/>
                    </a:lnTo>
                    <a:lnTo>
                      <a:pt x="98534" y="716017"/>
                    </a:lnTo>
                    <a:lnTo>
                      <a:pt x="157655" y="722586"/>
                    </a:lnTo>
                    <a:lnTo>
                      <a:pt x="183931" y="696310"/>
                    </a:lnTo>
                    <a:lnTo>
                      <a:pt x="256189" y="637189"/>
                    </a:lnTo>
                    <a:lnTo>
                      <a:pt x="269327" y="578068"/>
                    </a:lnTo>
                    <a:lnTo>
                      <a:pt x="302172" y="578068"/>
                    </a:lnTo>
                    <a:lnTo>
                      <a:pt x="328448" y="532086"/>
                    </a:lnTo>
                    <a:lnTo>
                      <a:pt x="532086" y="440120"/>
                    </a:lnTo>
                    <a:lnTo>
                      <a:pt x="729155" y="394137"/>
                    </a:lnTo>
                    <a:lnTo>
                      <a:pt x="742293" y="354724"/>
                    </a:lnTo>
                    <a:lnTo>
                      <a:pt x="821120" y="394137"/>
                    </a:lnTo>
                    <a:lnTo>
                      <a:pt x="926224" y="354724"/>
                    </a:lnTo>
                    <a:lnTo>
                      <a:pt x="932793" y="302172"/>
                    </a:lnTo>
                    <a:lnTo>
                      <a:pt x="945931" y="282465"/>
                    </a:lnTo>
                    <a:lnTo>
                      <a:pt x="932793" y="249620"/>
                    </a:lnTo>
                    <a:lnTo>
                      <a:pt x="893379" y="249620"/>
                    </a:lnTo>
                    <a:lnTo>
                      <a:pt x="873672" y="157655"/>
                    </a:lnTo>
                    <a:lnTo>
                      <a:pt x="821120" y="118241"/>
                    </a:lnTo>
                    <a:lnTo>
                      <a:pt x="801414" y="45982"/>
                    </a:lnTo>
                    <a:lnTo>
                      <a:pt x="807982" y="6568"/>
                    </a:lnTo>
                    <a:lnTo>
                      <a:pt x="762000" y="0"/>
                    </a:lnTo>
                    <a:lnTo>
                      <a:pt x="716017" y="13137"/>
                    </a:lnTo>
                    <a:lnTo>
                      <a:pt x="696310" y="45982"/>
                    </a:lnTo>
                    <a:lnTo>
                      <a:pt x="670034" y="65689"/>
                    </a:lnTo>
                    <a:lnTo>
                      <a:pt x="630620" y="52551"/>
                    </a:lnTo>
                    <a:lnTo>
                      <a:pt x="571500" y="85396"/>
                    </a:lnTo>
                    <a:lnTo>
                      <a:pt x="571500" y="85396"/>
                    </a:lnTo>
                    <a:lnTo>
                      <a:pt x="532086" y="65689"/>
                    </a:lnTo>
                    <a:lnTo>
                      <a:pt x="492672" y="52551"/>
                    </a:lnTo>
                    <a:lnTo>
                      <a:pt x="466396" y="59120"/>
                    </a:lnTo>
                    <a:lnTo>
                      <a:pt x="400707" y="118241"/>
                    </a:lnTo>
                    <a:lnTo>
                      <a:pt x="374431" y="85396"/>
                    </a:lnTo>
                    <a:lnTo>
                      <a:pt x="321879" y="137948"/>
                    </a:lnTo>
                    <a:lnTo>
                      <a:pt x="302172" y="151086"/>
                    </a:lnTo>
                    <a:lnTo>
                      <a:pt x="315310" y="170793"/>
                    </a:lnTo>
                    <a:lnTo>
                      <a:pt x="315310" y="223344"/>
                    </a:lnTo>
                    <a:lnTo>
                      <a:pt x="321879" y="289034"/>
                    </a:lnTo>
                    <a:lnTo>
                      <a:pt x="295603" y="341586"/>
                    </a:lnTo>
                    <a:lnTo>
                      <a:pt x="249620" y="348155"/>
                    </a:lnTo>
                    <a:lnTo>
                      <a:pt x="216776" y="361293"/>
                    </a:lnTo>
                    <a:lnTo>
                      <a:pt x="197069" y="381000"/>
                    </a:lnTo>
                    <a:lnTo>
                      <a:pt x="157655" y="361293"/>
                    </a:lnTo>
                    <a:lnTo>
                      <a:pt x="111672" y="328448"/>
                    </a:lnTo>
                    <a:lnTo>
                      <a:pt x="105103" y="354724"/>
                    </a:lnTo>
                    <a:lnTo>
                      <a:pt x="78827" y="407275"/>
                    </a:lnTo>
                    <a:lnTo>
                      <a:pt x="78827" y="446689"/>
                    </a:lnTo>
                    <a:lnTo>
                      <a:pt x="19707" y="597775"/>
                    </a:lnTo>
                    <a:lnTo>
                      <a:pt x="0" y="696310"/>
                    </a:lnTo>
                    <a:lnTo>
                      <a:pt x="19707" y="788275"/>
                    </a:lnTo>
                    <a:close/>
                  </a:path>
                </a:pathLst>
              </a:custGeom>
              <a:solidFill>
                <a:srgbClr val="FF0000">
                  <a:alpha val="54000"/>
                </a:srgb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indent="0" algn="l"/>
                <a:endParaRPr lang="th-TH" sz="1100">
                  <a:solidFill>
                    <a:schemeClr val="lt1"/>
                  </a:solidFill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7" name="รูปแบบอิสระ 126"/>
              <xdr:cNvSpPr/>
            </xdr:nvSpPr>
            <xdr:spPr>
              <a:xfrm>
                <a:off x="7705397" y="92464759"/>
                <a:ext cx="1228396" cy="827689"/>
              </a:xfrm>
              <a:custGeom>
                <a:avLst/>
                <a:gdLst>
                  <a:gd name="connsiteX0" fmla="*/ 6569 w 1228396"/>
                  <a:gd name="connsiteY0" fmla="*/ 394138 h 827689"/>
                  <a:gd name="connsiteX1" fmla="*/ 0 w 1228396"/>
                  <a:gd name="connsiteY1" fmla="*/ 321879 h 827689"/>
                  <a:gd name="connsiteX2" fmla="*/ 0 w 1228396"/>
                  <a:gd name="connsiteY2" fmla="*/ 256189 h 827689"/>
                  <a:gd name="connsiteX3" fmla="*/ 216775 w 1228396"/>
                  <a:gd name="connsiteY3" fmla="*/ 262758 h 827689"/>
                  <a:gd name="connsiteX4" fmla="*/ 216775 w 1228396"/>
                  <a:gd name="connsiteY4" fmla="*/ 262758 h 827689"/>
                  <a:gd name="connsiteX5" fmla="*/ 302172 w 1228396"/>
                  <a:gd name="connsiteY5" fmla="*/ 243051 h 827689"/>
                  <a:gd name="connsiteX6" fmla="*/ 289034 w 1228396"/>
                  <a:gd name="connsiteY6" fmla="*/ 216775 h 827689"/>
                  <a:gd name="connsiteX7" fmla="*/ 341586 w 1228396"/>
                  <a:gd name="connsiteY7" fmla="*/ 170793 h 827689"/>
                  <a:gd name="connsiteX8" fmla="*/ 394137 w 1228396"/>
                  <a:gd name="connsiteY8" fmla="*/ 13138 h 827689"/>
                  <a:gd name="connsiteX9" fmla="*/ 459827 w 1228396"/>
                  <a:gd name="connsiteY9" fmla="*/ 6569 h 827689"/>
                  <a:gd name="connsiteX10" fmla="*/ 486103 w 1228396"/>
                  <a:gd name="connsiteY10" fmla="*/ 0 h 827689"/>
                  <a:gd name="connsiteX11" fmla="*/ 505810 w 1228396"/>
                  <a:gd name="connsiteY11" fmla="*/ 39413 h 827689"/>
                  <a:gd name="connsiteX12" fmla="*/ 597775 w 1228396"/>
                  <a:gd name="connsiteY12" fmla="*/ 39413 h 827689"/>
                  <a:gd name="connsiteX13" fmla="*/ 584637 w 1228396"/>
                  <a:gd name="connsiteY13" fmla="*/ 59120 h 827689"/>
                  <a:gd name="connsiteX14" fmla="*/ 676603 w 1228396"/>
                  <a:gd name="connsiteY14" fmla="*/ 59120 h 827689"/>
                  <a:gd name="connsiteX15" fmla="*/ 965637 w 1228396"/>
                  <a:gd name="connsiteY15" fmla="*/ 6569 h 827689"/>
                  <a:gd name="connsiteX16" fmla="*/ 952500 w 1228396"/>
                  <a:gd name="connsiteY16" fmla="*/ 164224 h 827689"/>
                  <a:gd name="connsiteX17" fmla="*/ 1011620 w 1228396"/>
                  <a:gd name="connsiteY17" fmla="*/ 216775 h 827689"/>
                  <a:gd name="connsiteX18" fmla="*/ 945931 w 1228396"/>
                  <a:gd name="connsiteY18" fmla="*/ 282465 h 827689"/>
                  <a:gd name="connsiteX19" fmla="*/ 867103 w 1228396"/>
                  <a:gd name="connsiteY19" fmla="*/ 413844 h 827689"/>
                  <a:gd name="connsiteX20" fmla="*/ 1031327 w 1228396"/>
                  <a:gd name="connsiteY20" fmla="*/ 486103 h 827689"/>
                  <a:gd name="connsiteX21" fmla="*/ 1057603 w 1228396"/>
                  <a:gd name="connsiteY21" fmla="*/ 545224 h 827689"/>
                  <a:gd name="connsiteX22" fmla="*/ 1103586 w 1228396"/>
                  <a:gd name="connsiteY22" fmla="*/ 545224 h 827689"/>
                  <a:gd name="connsiteX23" fmla="*/ 1129862 w 1228396"/>
                  <a:gd name="connsiteY23" fmla="*/ 571500 h 827689"/>
                  <a:gd name="connsiteX24" fmla="*/ 1110155 w 1228396"/>
                  <a:gd name="connsiteY24" fmla="*/ 610913 h 827689"/>
                  <a:gd name="connsiteX25" fmla="*/ 1162706 w 1228396"/>
                  <a:gd name="connsiteY25" fmla="*/ 663465 h 827689"/>
                  <a:gd name="connsiteX26" fmla="*/ 1195551 w 1228396"/>
                  <a:gd name="connsiteY26" fmla="*/ 663465 h 827689"/>
                  <a:gd name="connsiteX27" fmla="*/ 1228396 w 1228396"/>
                  <a:gd name="connsiteY27" fmla="*/ 709448 h 827689"/>
                  <a:gd name="connsiteX28" fmla="*/ 1188982 w 1228396"/>
                  <a:gd name="connsiteY28" fmla="*/ 768569 h 827689"/>
                  <a:gd name="connsiteX29" fmla="*/ 1143000 w 1228396"/>
                  <a:gd name="connsiteY29" fmla="*/ 827689 h 827689"/>
                  <a:gd name="connsiteX30" fmla="*/ 1090448 w 1228396"/>
                  <a:gd name="connsiteY30" fmla="*/ 807982 h 827689"/>
                  <a:gd name="connsiteX31" fmla="*/ 1057603 w 1228396"/>
                  <a:gd name="connsiteY31" fmla="*/ 794844 h 827689"/>
                  <a:gd name="connsiteX32" fmla="*/ 1031327 w 1228396"/>
                  <a:gd name="connsiteY32" fmla="*/ 821120 h 827689"/>
                  <a:gd name="connsiteX33" fmla="*/ 499241 w 1228396"/>
                  <a:gd name="connsiteY33" fmla="*/ 722586 h 827689"/>
                  <a:gd name="connsiteX34" fmla="*/ 440120 w 1228396"/>
                  <a:gd name="connsiteY34" fmla="*/ 696310 h 827689"/>
                  <a:gd name="connsiteX35" fmla="*/ 394137 w 1228396"/>
                  <a:gd name="connsiteY35" fmla="*/ 742293 h 827689"/>
                  <a:gd name="connsiteX36" fmla="*/ 223344 w 1228396"/>
                  <a:gd name="connsiteY36" fmla="*/ 781707 h 827689"/>
                  <a:gd name="connsiteX37" fmla="*/ 137948 w 1228396"/>
                  <a:gd name="connsiteY37" fmla="*/ 762000 h 827689"/>
                  <a:gd name="connsiteX38" fmla="*/ 151086 w 1228396"/>
                  <a:gd name="connsiteY38" fmla="*/ 696310 h 827689"/>
                  <a:gd name="connsiteX39" fmla="*/ 124810 w 1228396"/>
                  <a:gd name="connsiteY39" fmla="*/ 663465 h 827689"/>
                  <a:gd name="connsiteX40" fmla="*/ 91965 w 1228396"/>
                  <a:gd name="connsiteY40" fmla="*/ 643758 h 827689"/>
                  <a:gd name="connsiteX41" fmla="*/ 91965 w 1228396"/>
                  <a:gd name="connsiteY41" fmla="*/ 584638 h 827689"/>
                  <a:gd name="connsiteX42" fmla="*/ 45982 w 1228396"/>
                  <a:gd name="connsiteY42" fmla="*/ 525517 h 827689"/>
                  <a:gd name="connsiteX43" fmla="*/ 6569 w 1228396"/>
                  <a:gd name="connsiteY43" fmla="*/ 394138 h 827689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</a:cxnLst>
                <a:rect l="l" t="t" r="r" b="b"/>
                <a:pathLst>
                  <a:path w="1228396" h="827689">
                    <a:moveTo>
                      <a:pt x="6569" y="394138"/>
                    </a:moveTo>
                    <a:lnTo>
                      <a:pt x="0" y="321879"/>
                    </a:lnTo>
                    <a:lnTo>
                      <a:pt x="0" y="256189"/>
                    </a:lnTo>
                    <a:lnTo>
                      <a:pt x="216775" y="262758"/>
                    </a:lnTo>
                    <a:lnTo>
                      <a:pt x="216775" y="262758"/>
                    </a:lnTo>
                    <a:lnTo>
                      <a:pt x="302172" y="243051"/>
                    </a:lnTo>
                    <a:lnTo>
                      <a:pt x="289034" y="216775"/>
                    </a:lnTo>
                    <a:lnTo>
                      <a:pt x="341586" y="170793"/>
                    </a:lnTo>
                    <a:lnTo>
                      <a:pt x="394137" y="13138"/>
                    </a:lnTo>
                    <a:lnTo>
                      <a:pt x="459827" y="6569"/>
                    </a:lnTo>
                    <a:lnTo>
                      <a:pt x="486103" y="0"/>
                    </a:lnTo>
                    <a:lnTo>
                      <a:pt x="505810" y="39413"/>
                    </a:lnTo>
                    <a:lnTo>
                      <a:pt x="597775" y="39413"/>
                    </a:lnTo>
                    <a:lnTo>
                      <a:pt x="584637" y="59120"/>
                    </a:lnTo>
                    <a:lnTo>
                      <a:pt x="676603" y="59120"/>
                    </a:lnTo>
                    <a:lnTo>
                      <a:pt x="965637" y="6569"/>
                    </a:lnTo>
                    <a:lnTo>
                      <a:pt x="952500" y="164224"/>
                    </a:lnTo>
                    <a:lnTo>
                      <a:pt x="1011620" y="216775"/>
                    </a:lnTo>
                    <a:lnTo>
                      <a:pt x="945931" y="282465"/>
                    </a:lnTo>
                    <a:lnTo>
                      <a:pt x="867103" y="413844"/>
                    </a:lnTo>
                    <a:lnTo>
                      <a:pt x="1031327" y="486103"/>
                    </a:lnTo>
                    <a:lnTo>
                      <a:pt x="1057603" y="545224"/>
                    </a:lnTo>
                    <a:lnTo>
                      <a:pt x="1103586" y="545224"/>
                    </a:lnTo>
                    <a:lnTo>
                      <a:pt x="1129862" y="571500"/>
                    </a:lnTo>
                    <a:lnTo>
                      <a:pt x="1110155" y="610913"/>
                    </a:lnTo>
                    <a:lnTo>
                      <a:pt x="1162706" y="663465"/>
                    </a:lnTo>
                    <a:lnTo>
                      <a:pt x="1195551" y="663465"/>
                    </a:lnTo>
                    <a:lnTo>
                      <a:pt x="1228396" y="709448"/>
                    </a:lnTo>
                    <a:lnTo>
                      <a:pt x="1188982" y="768569"/>
                    </a:lnTo>
                    <a:lnTo>
                      <a:pt x="1143000" y="827689"/>
                    </a:lnTo>
                    <a:lnTo>
                      <a:pt x="1090448" y="807982"/>
                    </a:lnTo>
                    <a:lnTo>
                      <a:pt x="1057603" y="794844"/>
                    </a:lnTo>
                    <a:lnTo>
                      <a:pt x="1031327" y="821120"/>
                    </a:lnTo>
                    <a:lnTo>
                      <a:pt x="499241" y="722586"/>
                    </a:lnTo>
                    <a:lnTo>
                      <a:pt x="440120" y="696310"/>
                    </a:lnTo>
                    <a:lnTo>
                      <a:pt x="394137" y="742293"/>
                    </a:lnTo>
                    <a:lnTo>
                      <a:pt x="223344" y="781707"/>
                    </a:lnTo>
                    <a:lnTo>
                      <a:pt x="137948" y="762000"/>
                    </a:lnTo>
                    <a:lnTo>
                      <a:pt x="151086" y="696310"/>
                    </a:lnTo>
                    <a:lnTo>
                      <a:pt x="124810" y="663465"/>
                    </a:lnTo>
                    <a:lnTo>
                      <a:pt x="91965" y="643758"/>
                    </a:lnTo>
                    <a:lnTo>
                      <a:pt x="91965" y="584638"/>
                    </a:lnTo>
                    <a:lnTo>
                      <a:pt x="45982" y="525517"/>
                    </a:lnTo>
                    <a:lnTo>
                      <a:pt x="6569" y="394138"/>
                    </a:lnTo>
                    <a:close/>
                  </a:path>
                </a:pathLst>
              </a:custGeom>
              <a:solidFill>
                <a:srgbClr val="00B050">
                  <a:alpha val="50000"/>
                </a:srgb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th-TH" sz="1100">
                  <a:solidFill>
                    <a:srgbClr val="00B050"/>
                  </a:solidFill>
                </a:endParaRPr>
              </a:p>
            </xdr:txBody>
          </xdr:sp>
          <xdr:sp macro="" textlink="">
            <xdr:nvSpPr>
              <xdr:cNvPr id="129" name="รูปแบบอิสระ 128"/>
              <xdr:cNvSpPr/>
            </xdr:nvSpPr>
            <xdr:spPr>
              <a:xfrm>
                <a:off x="6319345" y="92090328"/>
                <a:ext cx="1346638" cy="1780189"/>
              </a:xfrm>
              <a:custGeom>
                <a:avLst/>
                <a:gdLst>
                  <a:gd name="connsiteX0" fmla="*/ 32845 w 1346638"/>
                  <a:gd name="connsiteY0" fmla="*/ 1556844 h 1780189"/>
                  <a:gd name="connsiteX1" fmla="*/ 78827 w 1346638"/>
                  <a:gd name="connsiteY1" fmla="*/ 1635672 h 1780189"/>
                  <a:gd name="connsiteX2" fmla="*/ 177362 w 1346638"/>
                  <a:gd name="connsiteY2" fmla="*/ 1635672 h 1780189"/>
                  <a:gd name="connsiteX3" fmla="*/ 289034 w 1346638"/>
                  <a:gd name="connsiteY3" fmla="*/ 1615965 h 1780189"/>
                  <a:gd name="connsiteX4" fmla="*/ 295603 w 1346638"/>
                  <a:gd name="connsiteY4" fmla="*/ 1530569 h 1780189"/>
                  <a:gd name="connsiteX5" fmla="*/ 282465 w 1346638"/>
                  <a:gd name="connsiteY5" fmla="*/ 1504293 h 1780189"/>
                  <a:gd name="connsiteX6" fmla="*/ 321879 w 1346638"/>
                  <a:gd name="connsiteY6" fmla="*/ 1497724 h 1780189"/>
                  <a:gd name="connsiteX7" fmla="*/ 321879 w 1346638"/>
                  <a:gd name="connsiteY7" fmla="*/ 1497724 h 1780189"/>
                  <a:gd name="connsiteX8" fmla="*/ 433552 w 1346638"/>
                  <a:gd name="connsiteY8" fmla="*/ 1583120 h 1780189"/>
                  <a:gd name="connsiteX9" fmla="*/ 446689 w 1346638"/>
                  <a:gd name="connsiteY9" fmla="*/ 1635672 h 1780189"/>
                  <a:gd name="connsiteX10" fmla="*/ 466396 w 1346638"/>
                  <a:gd name="connsiteY10" fmla="*/ 1642241 h 1780189"/>
                  <a:gd name="connsiteX11" fmla="*/ 492672 w 1346638"/>
                  <a:gd name="connsiteY11" fmla="*/ 1688224 h 1780189"/>
                  <a:gd name="connsiteX12" fmla="*/ 499241 w 1346638"/>
                  <a:gd name="connsiteY12" fmla="*/ 1760482 h 1780189"/>
                  <a:gd name="connsiteX13" fmla="*/ 512379 w 1346638"/>
                  <a:gd name="connsiteY13" fmla="*/ 1780189 h 1780189"/>
                  <a:gd name="connsiteX14" fmla="*/ 571500 w 1346638"/>
                  <a:gd name="connsiteY14" fmla="*/ 1747344 h 1780189"/>
                  <a:gd name="connsiteX15" fmla="*/ 584638 w 1346638"/>
                  <a:gd name="connsiteY15" fmla="*/ 1721069 h 1780189"/>
                  <a:gd name="connsiteX16" fmla="*/ 637189 w 1346638"/>
                  <a:gd name="connsiteY16" fmla="*/ 1688224 h 1780189"/>
                  <a:gd name="connsiteX17" fmla="*/ 683172 w 1346638"/>
                  <a:gd name="connsiteY17" fmla="*/ 1661948 h 1780189"/>
                  <a:gd name="connsiteX18" fmla="*/ 683172 w 1346638"/>
                  <a:gd name="connsiteY18" fmla="*/ 1629103 h 1780189"/>
                  <a:gd name="connsiteX19" fmla="*/ 637189 w 1346638"/>
                  <a:gd name="connsiteY19" fmla="*/ 1583120 h 1780189"/>
                  <a:gd name="connsiteX20" fmla="*/ 643758 w 1346638"/>
                  <a:gd name="connsiteY20" fmla="*/ 1563413 h 1780189"/>
                  <a:gd name="connsiteX21" fmla="*/ 604345 w 1346638"/>
                  <a:gd name="connsiteY21" fmla="*/ 1563413 h 1780189"/>
                  <a:gd name="connsiteX22" fmla="*/ 610914 w 1346638"/>
                  <a:gd name="connsiteY22" fmla="*/ 1458310 h 1780189"/>
                  <a:gd name="connsiteX23" fmla="*/ 670034 w 1346638"/>
                  <a:gd name="connsiteY23" fmla="*/ 1241534 h 1780189"/>
                  <a:gd name="connsiteX24" fmla="*/ 656896 w 1346638"/>
                  <a:gd name="connsiteY24" fmla="*/ 1202120 h 1780189"/>
                  <a:gd name="connsiteX25" fmla="*/ 702879 w 1346638"/>
                  <a:gd name="connsiteY25" fmla="*/ 1143000 h 1780189"/>
                  <a:gd name="connsiteX26" fmla="*/ 722586 w 1346638"/>
                  <a:gd name="connsiteY26" fmla="*/ 1116724 h 1780189"/>
                  <a:gd name="connsiteX27" fmla="*/ 755431 w 1346638"/>
                  <a:gd name="connsiteY27" fmla="*/ 1136431 h 1780189"/>
                  <a:gd name="connsiteX28" fmla="*/ 794845 w 1346638"/>
                  <a:gd name="connsiteY28" fmla="*/ 1156138 h 1780189"/>
                  <a:gd name="connsiteX29" fmla="*/ 886810 w 1346638"/>
                  <a:gd name="connsiteY29" fmla="*/ 1116724 h 1780189"/>
                  <a:gd name="connsiteX30" fmla="*/ 893379 w 1346638"/>
                  <a:gd name="connsiteY30" fmla="*/ 1136431 h 1780189"/>
                  <a:gd name="connsiteX31" fmla="*/ 913086 w 1346638"/>
                  <a:gd name="connsiteY31" fmla="*/ 1077310 h 1780189"/>
                  <a:gd name="connsiteX32" fmla="*/ 899948 w 1346638"/>
                  <a:gd name="connsiteY32" fmla="*/ 985344 h 1780189"/>
                  <a:gd name="connsiteX33" fmla="*/ 906517 w 1346638"/>
                  <a:gd name="connsiteY33" fmla="*/ 952500 h 1780189"/>
                  <a:gd name="connsiteX34" fmla="*/ 978776 w 1346638"/>
                  <a:gd name="connsiteY34" fmla="*/ 814551 h 1780189"/>
                  <a:gd name="connsiteX35" fmla="*/ 1018189 w 1346638"/>
                  <a:gd name="connsiteY35" fmla="*/ 807982 h 1780189"/>
                  <a:gd name="connsiteX36" fmla="*/ 1011621 w 1346638"/>
                  <a:gd name="connsiteY36" fmla="*/ 755431 h 1780189"/>
                  <a:gd name="connsiteX37" fmla="*/ 1018189 w 1346638"/>
                  <a:gd name="connsiteY37" fmla="*/ 696310 h 1780189"/>
                  <a:gd name="connsiteX38" fmla="*/ 1057603 w 1346638"/>
                  <a:gd name="connsiteY38" fmla="*/ 578069 h 1780189"/>
                  <a:gd name="connsiteX39" fmla="*/ 1044465 w 1346638"/>
                  <a:gd name="connsiteY39" fmla="*/ 545224 h 1780189"/>
                  <a:gd name="connsiteX40" fmla="*/ 1018189 w 1346638"/>
                  <a:gd name="connsiteY40" fmla="*/ 518948 h 1780189"/>
                  <a:gd name="connsiteX41" fmla="*/ 1123293 w 1346638"/>
                  <a:gd name="connsiteY41" fmla="*/ 440120 h 1780189"/>
                  <a:gd name="connsiteX42" fmla="*/ 1221827 w 1346638"/>
                  <a:gd name="connsiteY42" fmla="*/ 459827 h 1780189"/>
                  <a:gd name="connsiteX43" fmla="*/ 1326931 w 1346638"/>
                  <a:gd name="connsiteY43" fmla="*/ 472965 h 1780189"/>
                  <a:gd name="connsiteX44" fmla="*/ 1274379 w 1346638"/>
                  <a:gd name="connsiteY44" fmla="*/ 433551 h 1780189"/>
                  <a:gd name="connsiteX45" fmla="*/ 1346638 w 1346638"/>
                  <a:gd name="connsiteY45" fmla="*/ 361293 h 1780189"/>
                  <a:gd name="connsiteX46" fmla="*/ 1274379 w 1346638"/>
                  <a:gd name="connsiteY46" fmla="*/ 315310 h 1780189"/>
                  <a:gd name="connsiteX47" fmla="*/ 1287517 w 1346638"/>
                  <a:gd name="connsiteY47" fmla="*/ 256189 h 1780189"/>
                  <a:gd name="connsiteX48" fmla="*/ 1280948 w 1346638"/>
                  <a:gd name="connsiteY48" fmla="*/ 197069 h 1780189"/>
                  <a:gd name="connsiteX49" fmla="*/ 1300655 w 1346638"/>
                  <a:gd name="connsiteY49" fmla="*/ 177362 h 1780189"/>
                  <a:gd name="connsiteX50" fmla="*/ 1307224 w 1346638"/>
                  <a:gd name="connsiteY50" fmla="*/ 13138 h 1780189"/>
                  <a:gd name="connsiteX51" fmla="*/ 1188983 w 1346638"/>
                  <a:gd name="connsiteY51" fmla="*/ 0 h 1780189"/>
                  <a:gd name="connsiteX52" fmla="*/ 1070741 w 1346638"/>
                  <a:gd name="connsiteY52" fmla="*/ 65689 h 1780189"/>
                  <a:gd name="connsiteX53" fmla="*/ 939362 w 1346638"/>
                  <a:gd name="connsiteY53" fmla="*/ 52551 h 1780189"/>
                  <a:gd name="connsiteX54" fmla="*/ 945931 w 1346638"/>
                  <a:gd name="connsiteY54" fmla="*/ 144517 h 1780189"/>
                  <a:gd name="connsiteX55" fmla="*/ 939362 w 1346638"/>
                  <a:gd name="connsiteY55" fmla="*/ 170793 h 1780189"/>
                  <a:gd name="connsiteX56" fmla="*/ 926224 w 1346638"/>
                  <a:gd name="connsiteY56" fmla="*/ 236482 h 1780189"/>
                  <a:gd name="connsiteX57" fmla="*/ 952500 w 1346638"/>
                  <a:gd name="connsiteY57" fmla="*/ 315310 h 1780189"/>
                  <a:gd name="connsiteX58" fmla="*/ 860534 w 1346638"/>
                  <a:gd name="connsiteY58" fmla="*/ 367862 h 1780189"/>
                  <a:gd name="connsiteX59" fmla="*/ 880241 w 1346638"/>
                  <a:gd name="connsiteY59" fmla="*/ 407275 h 1780189"/>
                  <a:gd name="connsiteX60" fmla="*/ 939362 w 1346638"/>
                  <a:gd name="connsiteY60" fmla="*/ 407275 h 1780189"/>
                  <a:gd name="connsiteX61" fmla="*/ 939362 w 1346638"/>
                  <a:gd name="connsiteY61" fmla="*/ 446689 h 1780189"/>
                  <a:gd name="connsiteX62" fmla="*/ 919655 w 1346638"/>
                  <a:gd name="connsiteY62" fmla="*/ 459827 h 1780189"/>
                  <a:gd name="connsiteX63" fmla="*/ 913086 w 1346638"/>
                  <a:gd name="connsiteY63" fmla="*/ 492672 h 1780189"/>
                  <a:gd name="connsiteX64" fmla="*/ 867103 w 1346638"/>
                  <a:gd name="connsiteY64" fmla="*/ 466396 h 1780189"/>
                  <a:gd name="connsiteX65" fmla="*/ 801414 w 1346638"/>
                  <a:gd name="connsiteY65" fmla="*/ 394138 h 1780189"/>
                  <a:gd name="connsiteX66" fmla="*/ 755431 w 1346638"/>
                  <a:gd name="connsiteY66" fmla="*/ 413844 h 1780189"/>
                  <a:gd name="connsiteX67" fmla="*/ 729155 w 1346638"/>
                  <a:gd name="connsiteY67" fmla="*/ 426982 h 1780189"/>
                  <a:gd name="connsiteX68" fmla="*/ 683172 w 1346638"/>
                  <a:gd name="connsiteY68" fmla="*/ 453258 h 1780189"/>
                  <a:gd name="connsiteX69" fmla="*/ 696310 w 1346638"/>
                  <a:gd name="connsiteY69" fmla="*/ 499241 h 1780189"/>
                  <a:gd name="connsiteX70" fmla="*/ 676603 w 1346638"/>
                  <a:gd name="connsiteY70" fmla="*/ 564931 h 1780189"/>
                  <a:gd name="connsiteX71" fmla="*/ 742293 w 1346638"/>
                  <a:gd name="connsiteY71" fmla="*/ 578069 h 1780189"/>
                  <a:gd name="connsiteX72" fmla="*/ 742293 w 1346638"/>
                  <a:gd name="connsiteY72" fmla="*/ 578069 h 1780189"/>
                  <a:gd name="connsiteX73" fmla="*/ 788276 w 1346638"/>
                  <a:gd name="connsiteY73" fmla="*/ 624051 h 1780189"/>
                  <a:gd name="connsiteX74" fmla="*/ 762000 w 1346638"/>
                  <a:gd name="connsiteY74" fmla="*/ 650327 h 1780189"/>
                  <a:gd name="connsiteX75" fmla="*/ 748862 w 1346638"/>
                  <a:gd name="connsiteY75" fmla="*/ 689741 h 1780189"/>
                  <a:gd name="connsiteX76" fmla="*/ 748862 w 1346638"/>
                  <a:gd name="connsiteY76" fmla="*/ 742293 h 1780189"/>
                  <a:gd name="connsiteX77" fmla="*/ 676603 w 1346638"/>
                  <a:gd name="connsiteY77" fmla="*/ 768569 h 1780189"/>
                  <a:gd name="connsiteX78" fmla="*/ 676603 w 1346638"/>
                  <a:gd name="connsiteY78" fmla="*/ 788275 h 1780189"/>
                  <a:gd name="connsiteX79" fmla="*/ 683172 w 1346638"/>
                  <a:gd name="connsiteY79" fmla="*/ 840827 h 1780189"/>
                  <a:gd name="connsiteX80" fmla="*/ 683172 w 1346638"/>
                  <a:gd name="connsiteY80" fmla="*/ 840827 h 1780189"/>
                  <a:gd name="connsiteX81" fmla="*/ 676603 w 1346638"/>
                  <a:gd name="connsiteY81" fmla="*/ 886810 h 1780189"/>
                  <a:gd name="connsiteX82" fmla="*/ 696310 w 1346638"/>
                  <a:gd name="connsiteY82" fmla="*/ 926224 h 1780189"/>
                  <a:gd name="connsiteX83" fmla="*/ 663465 w 1346638"/>
                  <a:gd name="connsiteY83" fmla="*/ 965638 h 1780189"/>
                  <a:gd name="connsiteX84" fmla="*/ 643758 w 1346638"/>
                  <a:gd name="connsiteY84" fmla="*/ 952500 h 1780189"/>
                  <a:gd name="connsiteX85" fmla="*/ 637189 w 1346638"/>
                  <a:gd name="connsiteY85" fmla="*/ 913086 h 1780189"/>
                  <a:gd name="connsiteX86" fmla="*/ 617483 w 1346638"/>
                  <a:gd name="connsiteY86" fmla="*/ 952500 h 1780189"/>
                  <a:gd name="connsiteX87" fmla="*/ 558362 w 1346638"/>
                  <a:gd name="connsiteY87" fmla="*/ 932793 h 1780189"/>
                  <a:gd name="connsiteX88" fmla="*/ 532086 w 1346638"/>
                  <a:gd name="connsiteY88" fmla="*/ 913086 h 1780189"/>
                  <a:gd name="connsiteX89" fmla="*/ 505810 w 1346638"/>
                  <a:gd name="connsiteY89" fmla="*/ 926224 h 1780189"/>
                  <a:gd name="connsiteX90" fmla="*/ 466396 w 1346638"/>
                  <a:gd name="connsiteY90" fmla="*/ 906517 h 1780189"/>
                  <a:gd name="connsiteX91" fmla="*/ 394138 w 1346638"/>
                  <a:gd name="connsiteY91" fmla="*/ 913086 h 1780189"/>
                  <a:gd name="connsiteX92" fmla="*/ 387569 w 1346638"/>
                  <a:gd name="connsiteY92" fmla="*/ 972206 h 1780189"/>
                  <a:gd name="connsiteX93" fmla="*/ 289034 w 1346638"/>
                  <a:gd name="connsiteY93" fmla="*/ 985344 h 1780189"/>
                  <a:gd name="connsiteX94" fmla="*/ 289034 w 1346638"/>
                  <a:gd name="connsiteY94" fmla="*/ 985344 h 1780189"/>
                  <a:gd name="connsiteX95" fmla="*/ 282465 w 1346638"/>
                  <a:gd name="connsiteY95" fmla="*/ 1005051 h 1780189"/>
                  <a:gd name="connsiteX96" fmla="*/ 190500 w 1346638"/>
                  <a:gd name="connsiteY96" fmla="*/ 1011620 h 1780189"/>
                  <a:gd name="connsiteX97" fmla="*/ 164224 w 1346638"/>
                  <a:gd name="connsiteY97" fmla="*/ 1090448 h 1780189"/>
                  <a:gd name="connsiteX98" fmla="*/ 144517 w 1346638"/>
                  <a:gd name="connsiteY98" fmla="*/ 1202120 h 1780189"/>
                  <a:gd name="connsiteX99" fmla="*/ 131379 w 1346638"/>
                  <a:gd name="connsiteY99" fmla="*/ 1228396 h 1780189"/>
                  <a:gd name="connsiteX100" fmla="*/ 72258 w 1346638"/>
                  <a:gd name="connsiteY100" fmla="*/ 1248103 h 1780189"/>
                  <a:gd name="connsiteX101" fmla="*/ 72258 w 1346638"/>
                  <a:gd name="connsiteY101" fmla="*/ 1274379 h 1780189"/>
                  <a:gd name="connsiteX102" fmla="*/ 72258 w 1346638"/>
                  <a:gd name="connsiteY102" fmla="*/ 1274379 h 1780189"/>
                  <a:gd name="connsiteX103" fmla="*/ 65689 w 1346638"/>
                  <a:gd name="connsiteY103" fmla="*/ 1353206 h 1780189"/>
                  <a:gd name="connsiteX104" fmla="*/ 39414 w 1346638"/>
                  <a:gd name="connsiteY104" fmla="*/ 1405758 h 1780189"/>
                  <a:gd name="connsiteX105" fmla="*/ 39414 w 1346638"/>
                  <a:gd name="connsiteY105" fmla="*/ 1432034 h 1780189"/>
                  <a:gd name="connsiteX106" fmla="*/ 0 w 1346638"/>
                  <a:gd name="connsiteY106" fmla="*/ 1458310 h 1780189"/>
                  <a:gd name="connsiteX107" fmla="*/ 45983 w 1346638"/>
                  <a:gd name="connsiteY107" fmla="*/ 1497724 h 1780189"/>
                  <a:gd name="connsiteX108" fmla="*/ 32845 w 1346638"/>
                  <a:gd name="connsiteY108" fmla="*/ 1556844 h 1780189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  <a:cxn ang="0">
                    <a:pos x="connsiteX42" y="connsiteY42"/>
                  </a:cxn>
                  <a:cxn ang="0">
                    <a:pos x="connsiteX43" y="connsiteY43"/>
                  </a:cxn>
                  <a:cxn ang="0">
                    <a:pos x="connsiteX44" y="connsiteY44"/>
                  </a:cxn>
                  <a:cxn ang="0">
                    <a:pos x="connsiteX45" y="connsiteY45"/>
                  </a:cxn>
                  <a:cxn ang="0">
                    <a:pos x="connsiteX46" y="connsiteY46"/>
                  </a:cxn>
                  <a:cxn ang="0">
                    <a:pos x="connsiteX47" y="connsiteY47"/>
                  </a:cxn>
                  <a:cxn ang="0">
                    <a:pos x="connsiteX48" y="connsiteY48"/>
                  </a:cxn>
                  <a:cxn ang="0">
                    <a:pos x="connsiteX49" y="connsiteY49"/>
                  </a:cxn>
                  <a:cxn ang="0">
                    <a:pos x="connsiteX50" y="connsiteY50"/>
                  </a:cxn>
                  <a:cxn ang="0">
                    <a:pos x="connsiteX51" y="connsiteY51"/>
                  </a:cxn>
                  <a:cxn ang="0">
                    <a:pos x="connsiteX52" y="connsiteY52"/>
                  </a:cxn>
                  <a:cxn ang="0">
                    <a:pos x="connsiteX53" y="connsiteY53"/>
                  </a:cxn>
                  <a:cxn ang="0">
                    <a:pos x="connsiteX54" y="connsiteY54"/>
                  </a:cxn>
                  <a:cxn ang="0">
                    <a:pos x="connsiteX55" y="connsiteY55"/>
                  </a:cxn>
                  <a:cxn ang="0">
                    <a:pos x="connsiteX56" y="connsiteY56"/>
                  </a:cxn>
                  <a:cxn ang="0">
                    <a:pos x="connsiteX57" y="connsiteY57"/>
                  </a:cxn>
                  <a:cxn ang="0">
                    <a:pos x="connsiteX58" y="connsiteY58"/>
                  </a:cxn>
                  <a:cxn ang="0">
                    <a:pos x="connsiteX59" y="connsiteY59"/>
                  </a:cxn>
                  <a:cxn ang="0">
                    <a:pos x="connsiteX60" y="connsiteY60"/>
                  </a:cxn>
                  <a:cxn ang="0">
                    <a:pos x="connsiteX61" y="connsiteY61"/>
                  </a:cxn>
                  <a:cxn ang="0">
                    <a:pos x="connsiteX62" y="connsiteY62"/>
                  </a:cxn>
                  <a:cxn ang="0">
                    <a:pos x="connsiteX63" y="connsiteY63"/>
                  </a:cxn>
                  <a:cxn ang="0">
                    <a:pos x="connsiteX64" y="connsiteY64"/>
                  </a:cxn>
                  <a:cxn ang="0">
                    <a:pos x="connsiteX65" y="connsiteY65"/>
                  </a:cxn>
                  <a:cxn ang="0">
                    <a:pos x="connsiteX66" y="connsiteY66"/>
                  </a:cxn>
                  <a:cxn ang="0">
                    <a:pos x="connsiteX67" y="connsiteY67"/>
                  </a:cxn>
                  <a:cxn ang="0">
                    <a:pos x="connsiteX68" y="connsiteY68"/>
                  </a:cxn>
                  <a:cxn ang="0">
                    <a:pos x="connsiteX69" y="connsiteY69"/>
                  </a:cxn>
                  <a:cxn ang="0">
                    <a:pos x="connsiteX70" y="connsiteY70"/>
                  </a:cxn>
                  <a:cxn ang="0">
                    <a:pos x="connsiteX71" y="connsiteY71"/>
                  </a:cxn>
                  <a:cxn ang="0">
                    <a:pos x="connsiteX72" y="connsiteY72"/>
                  </a:cxn>
                  <a:cxn ang="0">
                    <a:pos x="connsiteX73" y="connsiteY73"/>
                  </a:cxn>
                  <a:cxn ang="0">
                    <a:pos x="connsiteX74" y="connsiteY74"/>
                  </a:cxn>
                  <a:cxn ang="0">
                    <a:pos x="connsiteX75" y="connsiteY75"/>
                  </a:cxn>
                  <a:cxn ang="0">
                    <a:pos x="connsiteX76" y="connsiteY76"/>
                  </a:cxn>
                  <a:cxn ang="0">
                    <a:pos x="connsiteX77" y="connsiteY77"/>
                  </a:cxn>
                  <a:cxn ang="0">
                    <a:pos x="connsiteX78" y="connsiteY78"/>
                  </a:cxn>
                  <a:cxn ang="0">
                    <a:pos x="connsiteX79" y="connsiteY79"/>
                  </a:cxn>
                  <a:cxn ang="0">
                    <a:pos x="connsiteX80" y="connsiteY80"/>
                  </a:cxn>
                  <a:cxn ang="0">
                    <a:pos x="connsiteX81" y="connsiteY81"/>
                  </a:cxn>
                  <a:cxn ang="0">
                    <a:pos x="connsiteX82" y="connsiteY82"/>
                  </a:cxn>
                  <a:cxn ang="0">
                    <a:pos x="connsiteX83" y="connsiteY83"/>
                  </a:cxn>
                  <a:cxn ang="0">
                    <a:pos x="connsiteX84" y="connsiteY84"/>
                  </a:cxn>
                  <a:cxn ang="0">
                    <a:pos x="connsiteX85" y="connsiteY85"/>
                  </a:cxn>
                  <a:cxn ang="0">
                    <a:pos x="connsiteX86" y="connsiteY86"/>
                  </a:cxn>
                  <a:cxn ang="0">
                    <a:pos x="connsiteX87" y="connsiteY87"/>
                  </a:cxn>
                  <a:cxn ang="0">
                    <a:pos x="connsiteX88" y="connsiteY88"/>
                  </a:cxn>
                  <a:cxn ang="0">
                    <a:pos x="connsiteX89" y="connsiteY89"/>
                  </a:cxn>
                  <a:cxn ang="0">
                    <a:pos x="connsiteX90" y="connsiteY90"/>
                  </a:cxn>
                  <a:cxn ang="0">
                    <a:pos x="connsiteX91" y="connsiteY91"/>
                  </a:cxn>
                  <a:cxn ang="0">
                    <a:pos x="connsiteX92" y="connsiteY92"/>
                  </a:cxn>
                  <a:cxn ang="0">
                    <a:pos x="connsiteX93" y="connsiteY93"/>
                  </a:cxn>
                  <a:cxn ang="0">
                    <a:pos x="connsiteX94" y="connsiteY94"/>
                  </a:cxn>
                  <a:cxn ang="0">
                    <a:pos x="connsiteX95" y="connsiteY95"/>
                  </a:cxn>
                  <a:cxn ang="0">
                    <a:pos x="connsiteX96" y="connsiteY96"/>
                  </a:cxn>
                  <a:cxn ang="0">
                    <a:pos x="connsiteX97" y="connsiteY97"/>
                  </a:cxn>
                  <a:cxn ang="0">
                    <a:pos x="connsiteX98" y="connsiteY98"/>
                  </a:cxn>
                  <a:cxn ang="0">
                    <a:pos x="connsiteX99" y="connsiteY99"/>
                  </a:cxn>
                  <a:cxn ang="0">
                    <a:pos x="connsiteX100" y="connsiteY100"/>
                  </a:cxn>
                  <a:cxn ang="0">
                    <a:pos x="connsiteX101" y="connsiteY101"/>
                  </a:cxn>
                  <a:cxn ang="0">
                    <a:pos x="connsiteX102" y="connsiteY102"/>
                  </a:cxn>
                  <a:cxn ang="0">
                    <a:pos x="connsiteX103" y="connsiteY103"/>
                  </a:cxn>
                  <a:cxn ang="0">
                    <a:pos x="connsiteX104" y="connsiteY104"/>
                  </a:cxn>
                  <a:cxn ang="0">
                    <a:pos x="connsiteX105" y="connsiteY105"/>
                  </a:cxn>
                  <a:cxn ang="0">
                    <a:pos x="connsiteX106" y="connsiteY106"/>
                  </a:cxn>
                  <a:cxn ang="0">
                    <a:pos x="connsiteX107" y="connsiteY107"/>
                  </a:cxn>
                  <a:cxn ang="0">
                    <a:pos x="connsiteX108" y="connsiteY108"/>
                  </a:cxn>
                </a:cxnLst>
                <a:rect l="l" t="t" r="r" b="b"/>
                <a:pathLst>
                  <a:path w="1346638" h="1780189">
                    <a:moveTo>
                      <a:pt x="32845" y="1556844"/>
                    </a:moveTo>
                    <a:lnTo>
                      <a:pt x="78827" y="1635672"/>
                    </a:lnTo>
                    <a:lnTo>
                      <a:pt x="177362" y="1635672"/>
                    </a:lnTo>
                    <a:lnTo>
                      <a:pt x="289034" y="1615965"/>
                    </a:lnTo>
                    <a:lnTo>
                      <a:pt x="295603" y="1530569"/>
                    </a:lnTo>
                    <a:lnTo>
                      <a:pt x="282465" y="1504293"/>
                    </a:lnTo>
                    <a:lnTo>
                      <a:pt x="321879" y="1497724"/>
                    </a:lnTo>
                    <a:lnTo>
                      <a:pt x="321879" y="1497724"/>
                    </a:lnTo>
                    <a:lnTo>
                      <a:pt x="433552" y="1583120"/>
                    </a:lnTo>
                    <a:lnTo>
                      <a:pt x="446689" y="1635672"/>
                    </a:lnTo>
                    <a:lnTo>
                      <a:pt x="466396" y="1642241"/>
                    </a:lnTo>
                    <a:lnTo>
                      <a:pt x="492672" y="1688224"/>
                    </a:lnTo>
                    <a:lnTo>
                      <a:pt x="499241" y="1760482"/>
                    </a:lnTo>
                    <a:lnTo>
                      <a:pt x="512379" y="1780189"/>
                    </a:lnTo>
                    <a:lnTo>
                      <a:pt x="571500" y="1747344"/>
                    </a:lnTo>
                    <a:lnTo>
                      <a:pt x="584638" y="1721069"/>
                    </a:lnTo>
                    <a:lnTo>
                      <a:pt x="637189" y="1688224"/>
                    </a:lnTo>
                    <a:lnTo>
                      <a:pt x="683172" y="1661948"/>
                    </a:lnTo>
                    <a:lnTo>
                      <a:pt x="683172" y="1629103"/>
                    </a:lnTo>
                    <a:lnTo>
                      <a:pt x="637189" y="1583120"/>
                    </a:lnTo>
                    <a:lnTo>
                      <a:pt x="643758" y="1563413"/>
                    </a:lnTo>
                    <a:lnTo>
                      <a:pt x="604345" y="1563413"/>
                    </a:lnTo>
                    <a:lnTo>
                      <a:pt x="610914" y="1458310"/>
                    </a:lnTo>
                    <a:lnTo>
                      <a:pt x="670034" y="1241534"/>
                    </a:lnTo>
                    <a:lnTo>
                      <a:pt x="656896" y="1202120"/>
                    </a:lnTo>
                    <a:lnTo>
                      <a:pt x="702879" y="1143000"/>
                    </a:lnTo>
                    <a:lnTo>
                      <a:pt x="722586" y="1116724"/>
                    </a:lnTo>
                    <a:lnTo>
                      <a:pt x="755431" y="1136431"/>
                    </a:lnTo>
                    <a:lnTo>
                      <a:pt x="794845" y="1156138"/>
                    </a:lnTo>
                    <a:lnTo>
                      <a:pt x="886810" y="1116724"/>
                    </a:lnTo>
                    <a:lnTo>
                      <a:pt x="893379" y="1136431"/>
                    </a:lnTo>
                    <a:lnTo>
                      <a:pt x="913086" y="1077310"/>
                    </a:lnTo>
                    <a:lnTo>
                      <a:pt x="899948" y="985344"/>
                    </a:lnTo>
                    <a:lnTo>
                      <a:pt x="906517" y="952500"/>
                    </a:lnTo>
                    <a:lnTo>
                      <a:pt x="978776" y="814551"/>
                    </a:lnTo>
                    <a:lnTo>
                      <a:pt x="1018189" y="807982"/>
                    </a:lnTo>
                    <a:lnTo>
                      <a:pt x="1011621" y="755431"/>
                    </a:lnTo>
                    <a:lnTo>
                      <a:pt x="1018189" y="696310"/>
                    </a:lnTo>
                    <a:lnTo>
                      <a:pt x="1057603" y="578069"/>
                    </a:lnTo>
                    <a:lnTo>
                      <a:pt x="1044465" y="545224"/>
                    </a:lnTo>
                    <a:lnTo>
                      <a:pt x="1018189" y="518948"/>
                    </a:lnTo>
                    <a:lnTo>
                      <a:pt x="1123293" y="440120"/>
                    </a:lnTo>
                    <a:lnTo>
                      <a:pt x="1221827" y="459827"/>
                    </a:lnTo>
                    <a:lnTo>
                      <a:pt x="1326931" y="472965"/>
                    </a:lnTo>
                    <a:lnTo>
                      <a:pt x="1274379" y="433551"/>
                    </a:lnTo>
                    <a:lnTo>
                      <a:pt x="1346638" y="361293"/>
                    </a:lnTo>
                    <a:lnTo>
                      <a:pt x="1274379" y="315310"/>
                    </a:lnTo>
                    <a:lnTo>
                      <a:pt x="1287517" y="256189"/>
                    </a:lnTo>
                    <a:lnTo>
                      <a:pt x="1280948" y="197069"/>
                    </a:lnTo>
                    <a:lnTo>
                      <a:pt x="1300655" y="177362"/>
                    </a:lnTo>
                    <a:lnTo>
                      <a:pt x="1307224" y="13138"/>
                    </a:lnTo>
                    <a:lnTo>
                      <a:pt x="1188983" y="0"/>
                    </a:lnTo>
                    <a:lnTo>
                      <a:pt x="1070741" y="65689"/>
                    </a:lnTo>
                    <a:lnTo>
                      <a:pt x="939362" y="52551"/>
                    </a:lnTo>
                    <a:lnTo>
                      <a:pt x="945931" y="144517"/>
                    </a:lnTo>
                    <a:lnTo>
                      <a:pt x="939362" y="170793"/>
                    </a:lnTo>
                    <a:lnTo>
                      <a:pt x="926224" y="236482"/>
                    </a:lnTo>
                    <a:lnTo>
                      <a:pt x="952500" y="315310"/>
                    </a:lnTo>
                    <a:lnTo>
                      <a:pt x="860534" y="367862"/>
                    </a:lnTo>
                    <a:lnTo>
                      <a:pt x="880241" y="407275"/>
                    </a:lnTo>
                    <a:lnTo>
                      <a:pt x="939362" y="407275"/>
                    </a:lnTo>
                    <a:lnTo>
                      <a:pt x="939362" y="446689"/>
                    </a:lnTo>
                    <a:lnTo>
                      <a:pt x="919655" y="459827"/>
                    </a:lnTo>
                    <a:lnTo>
                      <a:pt x="913086" y="492672"/>
                    </a:lnTo>
                    <a:lnTo>
                      <a:pt x="867103" y="466396"/>
                    </a:lnTo>
                    <a:lnTo>
                      <a:pt x="801414" y="394138"/>
                    </a:lnTo>
                    <a:lnTo>
                      <a:pt x="755431" y="413844"/>
                    </a:lnTo>
                    <a:lnTo>
                      <a:pt x="729155" y="426982"/>
                    </a:lnTo>
                    <a:lnTo>
                      <a:pt x="683172" y="453258"/>
                    </a:lnTo>
                    <a:lnTo>
                      <a:pt x="696310" y="499241"/>
                    </a:lnTo>
                    <a:lnTo>
                      <a:pt x="676603" y="564931"/>
                    </a:lnTo>
                    <a:lnTo>
                      <a:pt x="742293" y="578069"/>
                    </a:lnTo>
                    <a:lnTo>
                      <a:pt x="742293" y="578069"/>
                    </a:lnTo>
                    <a:lnTo>
                      <a:pt x="788276" y="624051"/>
                    </a:lnTo>
                    <a:lnTo>
                      <a:pt x="762000" y="650327"/>
                    </a:lnTo>
                    <a:lnTo>
                      <a:pt x="748862" y="689741"/>
                    </a:lnTo>
                    <a:lnTo>
                      <a:pt x="748862" y="742293"/>
                    </a:lnTo>
                    <a:lnTo>
                      <a:pt x="676603" y="768569"/>
                    </a:lnTo>
                    <a:lnTo>
                      <a:pt x="676603" y="788275"/>
                    </a:lnTo>
                    <a:lnTo>
                      <a:pt x="683172" y="840827"/>
                    </a:lnTo>
                    <a:lnTo>
                      <a:pt x="683172" y="840827"/>
                    </a:lnTo>
                    <a:lnTo>
                      <a:pt x="676603" y="886810"/>
                    </a:lnTo>
                    <a:lnTo>
                      <a:pt x="696310" y="926224"/>
                    </a:lnTo>
                    <a:lnTo>
                      <a:pt x="663465" y="965638"/>
                    </a:lnTo>
                    <a:lnTo>
                      <a:pt x="643758" y="952500"/>
                    </a:lnTo>
                    <a:lnTo>
                      <a:pt x="637189" y="913086"/>
                    </a:lnTo>
                    <a:lnTo>
                      <a:pt x="617483" y="952500"/>
                    </a:lnTo>
                    <a:lnTo>
                      <a:pt x="558362" y="932793"/>
                    </a:lnTo>
                    <a:lnTo>
                      <a:pt x="532086" y="913086"/>
                    </a:lnTo>
                    <a:lnTo>
                      <a:pt x="505810" y="926224"/>
                    </a:lnTo>
                    <a:lnTo>
                      <a:pt x="466396" y="906517"/>
                    </a:lnTo>
                    <a:lnTo>
                      <a:pt x="394138" y="913086"/>
                    </a:lnTo>
                    <a:lnTo>
                      <a:pt x="387569" y="972206"/>
                    </a:lnTo>
                    <a:lnTo>
                      <a:pt x="289034" y="985344"/>
                    </a:lnTo>
                    <a:lnTo>
                      <a:pt x="289034" y="985344"/>
                    </a:lnTo>
                    <a:lnTo>
                      <a:pt x="282465" y="1005051"/>
                    </a:lnTo>
                    <a:lnTo>
                      <a:pt x="190500" y="1011620"/>
                    </a:lnTo>
                    <a:lnTo>
                      <a:pt x="164224" y="1090448"/>
                    </a:lnTo>
                    <a:lnTo>
                      <a:pt x="144517" y="1202120"/>
                    </a:lnTo>
                    <a:lnTo>
                      <a:pt x="131379" y="1228396"/>
                    </a:lnTo>
                    <a:lnTo>
                      <a:pt x="72258" y="1248103"/>
                    </a:lnTo>
                    <a:lnTo>
                      <a:pt x="72258" y="1274379"/>
                    </a:lnTo>
                    <a:lnTo>
                      <a:pt x="72258" y="1274379"/>
                    </a:lnTo>
                    <a:lnTo>
                      <a:pt x="65689" y="1353206"/>
                    </a:lnTo>
                    <a:lnTo>
                      <a:pt x="39414" y="1405758"/>
                    </a:lnTo>
                    <a:lnTo>
                      <a:pt x="39414" y="1432034"/>
                    </a:lnTo>
                    <a:lnTo>
                      <a:pt x="0" y="1458310"/>
                    </a:lnTo>
                    <a:lnTo>
                      <a:pt x="45983" y="1497724"/>
                    </a:lnTo>
                    <a:lnTo>
                      <a:pt x="32845" y="1556844"/>
                    </a:lnTo>
                    <a:close/>
                  </a:path>
                </a:pathLst>
              </a:custGeom>
              <a:solidFill>
                <a:srgbClr val="0070C0">
                  <a:alpha val="53000"/>
                </a:srgb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th-TH" sz="1100"/>
              </a:p>
            </xdr:txBody>
          </xdr:sp>
        </xdr:grpSp>
        <xdr:sp macro="" textlink="">
          <xdr:nvSpPr>
            <xdr:cNvPr id="137" name="รูปแบบอิสระ 136"/>
            <xdr:cNvSpPr/>
          </xdr:nvSpPr>
          <xdr:spPr>
            <a:xfrm>
              <a:off x="8079411" y="92035824"/>
              <a:ext cx="1547812" cy="1621461"/>
            </a:xfrm>
            <a:custGeom>
              <a:avLst/>
              <a:gdLst>
                <a:gd name="connsiteX0" fmla="*/ 533400 w 1556657"/>
                <a:gd name="connsiteY0" fmla="*/ 402771 h 1627414"/>
                <a:gd name="connsiteX1" fmla="*/ 92529 w 1556657"/>
                <a:gd name="connsiteY1" fmla="*/ 647700 h 1627414"/>
                <a:gd name="connsiteX2" fmla="*/ 70757 w 1556657"/>
                <a:gd name="connsiteY2" fmla="*/ 658585 h 1627414"/>
                <a:gd name="connsiteX3" fmla="*/ 0 w 1556657"/>
                <a:gd name="connsiteY3" fmla="*/ 669471 h 1627414"/>
                <a:gd name="connsiteX4" fmla="*/ 87086 w 1556657"/>
                <a:gd name="connsiteY4" fmla="*/ 974271 h 1627414"/>
                <a:gd name="connsiteX5" fmla="*/ 179615 w 1556657"/>
                <a:gd name="connsiteY5" fmla="*/ 1012371 h 1627414"/>
                <a:gd name="connsiteX6" fmla="*/ 272143 w 1556657"/>
                <a:gd name="connsiteY6" fmla="*/ 1028700 h 1627414"/>
                <a:gd name="connsiteX7" fmla="*/ 587829 w 1556657"/>
                <a:gd name="connsiteY7" fmla="*/ 968828 h 1627414"/>
                <a:gd name="connsiteX8" fmla="*/ 560615 w 1556657"/>
                <a:gd name="connsiteY8" fmla="*/ 1159328 h 1627414"/>
                <a:gd name="connsiteX9" fmla="*/ 631372 w 1556657"/>
                <a:gd name="connsiteY9" fmla="*/ 1213757 h 1627414"/>
                <a:gd name="connsiteX10" fmla="*/ 582386 w 1556657"/>
                <a:gd name="connsiteY10" fmla="*/ 1230085 h 1627414"/>
                <a:gd name="connsiteX11" fmla="*/ 495300 w 1556657"/>
                <a:gd name="connsiteY11" fmla="*/ 1387928 h 1627414"/>
                <a:gd name="connsiteX12" fmla="*/ 658586 w 1556657"/>
                <a:gd name="connsiteY12" fmla="*/ 1453242 h 1627414"/>
                <a:gd name="connsiteX13" fmla="*/ 674915 w 1556657"/>
                <a:gd name="connsiteY13" fmla="*/ 1513114 h 1627414"/>
                <a:gd name="connsiteX14" fmla="*/ 718457 w 1556657"/>
                <a:gd name="connsiteY14" fmla="*/ 1502228 h 1627414"/>
                <a:gd name="connsiteX15" fmla="*/ 756557 w 1556657"/>
                <a:gd name="connsiteY15" fmla="*/ 1534885 h 1627414"/>
                <a:gd name="connsiteX16" fmla="*/ 723900 w 1556657"/>
                <a:gd name="connsiteY16" fmla="*/ 1562100 h 1627414"/>
                <a:gd name="connsiteX17" fmla="*/ 772886 w 1556657"/>
                <a:gd name="connsiteY17" fmla="*/ 1627414 h 1627414"/>
                <a:gd name="connsiteX18" fmla="*/ 930729 w 1556657"/>
                <a:gd name="connsiteY18" fmla="*/ 1616528 h 1627414"/>
                <a:gd name="connsiteX19" fmla="*/ 968829 w 1556657"/>
                <a:gd name="connsiteY19" fmla="*/ 1578428 h 1627414"/>
                <a:gd name="connsiteX20" fmla="*/ 1072243 w 1556657"/>
                <a:gd name="connsiteY20" fmla="*/ 1578428 h 1627414"/>
                <a:gd name="connsiteX21" fmla="*/ 1132115 w 1556657"/>
                <a:gd name="connsiteY21" fmla="*/ 1600200 h 1627414"/>
                <a:gd name="connsiteX22" fmla="*/ 1126672 w 1556657"/>
                <a:gd name="connsiteY22" fmla="*/ 1545771 h 1627414"/>
                <a:gd name="connsiteX23" fmla="*/ 1083129 w 1556657"/>
                <a:gd name="connsiteY23" fmla="*/ 1524000 h 1627414"/>
                <a:gd name="connsiteX24" fmla="*/ 1110343 w 1556657"/>
                <a:gd name="connsiteY24" fmla="*/ 1447800 h 1627414"/>
                <a:gd name="connsiteX25" fmla="*/ 1121229 w 1556657"/>
                <a:gd name="connsiteY25" fmla="*/ 1431471 h 1627414"/>
                <a:gd name="connsiteX26" fmla="*/ 1191986 w 1556657"/>
                <a:gd name="connsiteY26" fmla="*/ 1426028 h 1627414"/>
                <a:gd name="connsiteX27" fmla="*/ 1230086 w 1556657"/>
                <a:gd name="connsiteY27" fmla="*/ 1431471 h 1627414"/>
                <a:gd name="connsiteX28" fmla="*/ 1219200 w 1556657"/>
                <a:gd name="connsiteY28" fmla="*/ 1311728 h 1627414"/>
                <a:gd name="connsiteX29" fmla="*/ 1257300 w 1556657"/>
                <a:gd name="connsiteY29" fmla="*/ 1289957 h 1627414"/>
                <a:gd name="connsiteX30" fmla="*/ 1235529 w 1556657"/>
                <a:gd name="connsiteY30" fmla="*/ 1257300 h 1627414"/>
                <a:gd name="connsiteX31" fmla="*/ 1273629 w 1556657"/>
                <a:gd name="connsiteY31" fmla="*/ 1148442 h 1627414"/>
                <a:gd name="connsiteX32" fmla="*/ 1284515 w 1556657"/>
                <a:gd name="connsiteY32" fmla="*/ 1094014 h 1627414"/>
                <a:gd name="connsiteX33" fmla="*/ 1366157 w 1556657"/>
                <a:gd name="connsiteY33" fmla="*/ 1083128 h 1627414"/>
                <a:gd name="connsiteX34" fmla="*/ 1300843 w 1556657"/>
                <a:gd name="connsiteY34" fmla="*/ 1028700 h 1627414"/>
                <a:gd name="connsiteX35" fmla="*/ 1311729 w 1556657"/>
                <a:gd name="connsiteY35" fmla="*/ 957942 h 1627414"/>
                <a:gd name="connsiteX36" fmla="*/ 1284515 w 1556657"/>
                <a:gd name="connsiteY36" fmla="*/ 908957 h 1627414"/>
                <a:gd name="connsiteX37" fmla="*/ 1235529 w 1556657"/>
                <a:gd name="connsiteY37" fmla="*/ 881742 h 1627414"/>
                <a:gd name="connsiteX38" fmla="*/ 1191986 w 1556657"/>
                <a:gd name="connsiteY38" fmla="*/ 854528 h 1627414"/>
                <a:gd name="connsiteX39" fmla="*/ 1186543 w 1556657"/>
                <a:gd name="connsiteY39" fmla="*/ 778328 h 1627414"/>
                <a:gd name="connsiteX40" fmla="*/ 1257300 w 1556657"/>
                <a:gd name="connsiteY40" fmla="*/ 740228 h 1627414"/>
                <a:gd name="connsiteX41" fmla="*/ 1213757 w 1556657"/>
                <a:gd name="connsiteY41" fmla="*/ 680357 h 1627414"/>
                <a:gd name="connsiteX42" fmla="*/ 1191986 w 1556657"/>
                <a:gd name="connsiteY42" fmla="*/ 642257 h 1627414"/>
                <a:gd name="connsiteX43" fmla="*/ 1235529 w 1556657"/>
                <a:gd name="connsiteY43" fmla="*/ 587828 h 1627414"/>
                <a:gd name="connsiteX44" fmla="*/ 1300843 w 1556657"/>
                <a:gd name="connsiteY44" fmla="*/ 522514 h 1627414"/>
                <a:gd name="connsiteX45" fmla="*/ 1366157 w 1556657"/>
                <a:gd name="connsiteY45" fmla="*/ 506185 h 1627414"/>
                <a:gd name="connsiteX46" fmla="*/ 1349829 w 1556657"/>
                <a:gd name="connsiteY46" fmla="*/ 397328 h 1627414"/>
                <a:gd name="connsiteX47" fmla="*/ 1436915 w 1556657"/>
                <a:gd name="connsiteY47" fmla="*/ 446314 h 1627414"/>
                <a:gd name="connsiteX48" fmla="*/ 1524000 w 1556657"/>
                <a:gd name="connsiteY48" fmla="*/ 413657 h 1627414"/>
                <a:gd name="connsiteX49" fmla="*/ 1556657 w 1556657"/>
                <a:gd name="connsiteY49" fmla="*/ 332014 h 1627414"/>
                <a:gd name="connsiteX50" fmla="*/ 1491343 w 1556657"/>
                <a:gd name="connsiteY50" fmla="*/ 244928 h 1627414"/>
                <a:gd name="connsiteX51" fmla="*/ 1404257 w 1556657"/>
                <a:gd name="connsiteY51" fmla="*/ 201385 h 1627414"/>
                <a:gd name="connsiteX52" fmla="*/ 1306286 w 1556657"/>
                <a:gd name="connsiteY52" fmla="*/ 125185 h 1627414"/>
                <a:gd name="connsiteX53" fmla="*/ 1240972 w 1556657"/>
                <a:gd name="connsiteY53" fmla="*/ 59871 h 1627414"/>
                <a:gd name="connsiteX54" fmla="*/ 1235529 w 1556657"/>
                <a:gd name="connsiteY54" fmla="*/ 27214 h 1627414"/>
                <a:gd name="connsiteX55" fmla="*/ 1202872 w 1556657"/>
                <a:gd name="connsiteY55" fmla="*/ 48985 h 1627414"/>
                <a:gd name="connsiteX56" fmla="*/ 1170215 w 1556657"/>
                <a:gd name="connsiteY56" fmla="*/ 0 h 1627414"/>
                <a:gd name="connsiteX57" fmla="*/ 1099457 w 1556657"/>
                <a:gd name="connsiteY57" fmla="*/ 81642 h 1627414"/>
                <a:gd name="connsiteX58" fmla="*/ 1066800 w 1556657"/>
                <a:gd name="connsiteY58" fmla="*/ 174171 h 1627414"/>
                <a:gd name="connsiteX59" fmla="*/ 1066800 w 1556657"/>
                <a:gd name="connsiteY59" fmla="*/ 244928 h 1627414"/>
                <a:gd name="connsiteX60" fmla="*/ 990600 w 1556657"/>
                <a:gd name="connsiteY60" fmla="*/ 293914 h 1627414"/>
                <a:gd name="connsiteX61" fmla="*/ 941615 w 1556657"/>
                <a:gd name="connsiteY61" fmla="*/ 239485 h 1627414"/>
                <a:gd name="connsiteX62" fmla="*/ 870857 w 1556657"/>
                <a:gd name="connsiteY62" fmla="*/ 244928 h 1627414"/>
                <a:gd name="connsiteX63" fmla="*/ 816429 w 1556657"/>
                <a:gd name="connsiteY63" fmla="*/ 174171 h 1627414"/>
                <a:gd name="connsiteX64" fmla="*/ 805543 w 1556657"/>
                <a:gd name="connsiteY64" fmla="*/ 244928 h 1627414"/>
                <a:gd name="connsiteX65" fmla="*/ 794657 w 1556657"/>
                <a:gd name="connsiteY65" fmla="*/ 293914 h 1627414"/>
                <a:gd name="connsiteX66" fmla="*/ 718457 w 1556657"/>
                <a:gd name="connsiteY66" fmla="*/ 381000 h 1627414"/>
                <a:gd name="connsiteX67" fmla="*/ 631372 w 1556657"/>
                <a:gd name="connsiteY67" fmla="*/ 429985 h 1627414"/>
                <a:gd name="connsiteX68" fmla="*/ 538843 w 1556657"/>
                <a:gd name="connsiteY68" fmla="*/ 468085 h 1627414"/>
                <a:gd name="connsiteX69" fmla="*/ 533400 w 1556657"/>
                <a:gd name="connsiteY69" fmla="*/ 402771 h 16274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  <a:cxn ang="0">
                  <a:pos x="connsiteX44" y="connsiteY44"/>
                </a:cxn>
                <a:cxn ang="0">
                  <a:pos x="connsiteX45" y="connsiteY45"/>
                </a:cxn>
                <a:cxn ang="0">
                  <a:pos x="connsiteX46" y="connsiteY46"/>
                </a:cxn>
                <a:cxn ang="0">
                  <a:pos x="connsiteX47" y="connsiteY47"/>
                </a:cxn>
                <a:cxn ang="0">
                  <a:pos x="connsiteX48" y="connsiteY48"/>
                </a:cxn>
                <a:cxn ang="0">
                  <a:pos x="connsiteX49" y="connsiteY49"/>
                </a:cxn>
                <a:cxn ang="0">
                  <a:pos x="connsiteX50" y="connsiteY50"/>
                </a:cxn>
                <a:cxn ang="0">
                  <a:pos x="connsiteX51" y="connsiteY51"/>
                </a:cxn>
                <a:cxn ang="0">
                  <a:pos x="connsiteX52" y="connsiteY52"/>
                </a:cxn>
                <a:cxn ang="0">
                  <a:pos x="connsiteX53" y="connsiteY53"/>
                </a:cxn>
                <a:cxn ang="0">
                  <a:pos x="connsiteX54" y="connsiteY54"/>
                </a:cxn>
                <a:cxn ang="0">
                  <a:pos x="connsiteX55" y="connsiteY55"/>
                </a:cxn>
                <a:cxn ang="0">
                  <a:pos x="connsiteX56" y="connsiteY56"/>
                </a:cxn>
                <a:cxn ang="0">
                  <a:pos x="connsiteX57" y="connsiteY57"/>
                </a:cxn>
                <a:cxn ang="0">
                  <a:pos x="connsiteX58" y="connsiteY58"/>
                </a:cxn>
                <a:cxn ang="0">
                  <a:pos x="connsiteX59" y="connsiteY59"/>
                </a:cxn>
                <a:cxn ang="0">
                  <a:pos x="connsiteX60" y="connsiteY60"/>
                </a:cxn>
                <a:cxn ang="0">
                  <a:pos x="connsiteX61" y="connsiteY61"/>
                </a:cxn>
                <a:cxn ang="0">
                  <a:pos x="connsiteX62" y="connsiteY62"/>
                </a:cxn>
                <a:cxn ang="0">
                  <a:pos x="connsiteX63" y="connsiteY63"/>
                </a:cxn>
                <a:cxn ang="0">
                  <a:pos x="connsiteX64" y="connsiteY64"/>
                </a:cxn>
                <a:cxn ang="0">
                  <a:pos x="connsiteX65" y="connsiteY65"/>
                </a:cxn>
                <a:cxn ang="0">
                  <a:pos x="connsiteX66" y="connsiteY66"/>
                </a:cxn>
                <a:cxn ang="0">
                  <a:pos x="connsiteX67" y="connsiteY67"/>
                </a:cxn>
                <a:cxn ang="0">
                  <a:pos x="connsiteX68" y="connsiteY68"/>
                </a:cxn>
                <a:cxn ang="0">
                  <a:pos x="connsiteX69" y="connsiteY69"/>
                </a:cxn>
              </a:cxnLst>
              <a:rect l="l" t="t" r="r" b="b"/>
              <a:pathLst>
                <a:path w="1556657" h="1627414">
                  <a:moveTo>
                    <a:pt x="533400" y="402771"/>
                  </a:moveTo>
                  <a:lnTo>
                    <a:pt x="92529" y="647700"/>
                  </a:lnTo>
                  <a:lnTo>
                    <a:pt x="70757" y="658585"/>
                  </a:lnTo>
                  <a:lnTo>
                    <a:pt x="0" y="669471"/>
                  </a:lnTo>
                  <a:lnTo>
                    <a:pt x="87086" y="974271"/>
                  </a:lnTo>
                  <a:lnTo>
                    <a:pt x="179615" y="1012371"/>
                  </a:lnTo>
                  <a:lnTo>
                    <a:pt x="272143" y="1028700"/>
                  </a:lnTo>
                  <a:lnTo>
                    <a:pt x="587829" y="968828"/>
                  </a:lnTo>
                  <a:lnTo>
                    <a:pt x="560615" y="1159328"/>
                  </a:lnTo>
                  <a:lnTo>
                    <a:pt x="631372" y="1213757"/>
                  </a:lnTo>
                  <a:lnTo>
                    <a:pt x="582386" y="1230085"/>
                  </a:lnTo>
                  <a:lnTo>
                    <a:pt x="495300" y="1387928"/>
                  </a:lnTo>
                  <a:lnTo>
                    <a:pt x="658586" y="1453242"/>
                  </a:lnTo>
                  <a:lnTo>
                    <a:pt x="674915" y="1513114"/>
                  </a:lnTo>
                  <a:lnTo>
                    <a:pt x="718457" y="1502228"/>
                  </a:lnTo>
                  <a:lnTo>
                    <a:pt x="756557" y="1534885"/>
                  </a:lnTo>
                  <a:lnTo>
                    <a:pt x="723900" y="1562100"/>
                  </a:lnTo>
                  <a:lnTo>
                    <a:pt x="772886" y="1627414"/>
                  </a:lnTo>
                  <a:lnTo>
                    <a:pt x="930729" y="1616528"/>
                  </a:lnTo>
                  <a:lnTo>
                    <a:pt x="968829" y="1578428"/>
                  </a:lnTo>
                  <a:lnTo>
                    <a:pt x="1072243" y="1578428"/>
                  </a:lnTo>
                  <a:lnTo>
                    <a:pt x="1132115" y="1600200"/>
                  </a:lnTo>
                  <a:lnTo>
                    <a:pt x="1126672" y="1545771"/>
                  </a:lnTo>
                  <a:lnTo>
                    <a:pt x="1083129" y="1524000"/>
                  </a:lnTo>
                  <a:lnTo>
                    <a:pt x="1110343" y="1447800"/>
                  </a:lnTo>
                  <a:lnTo>
                    <a:pt x="1121229" y="1431471"/>
                  </a:lnTo>
                  <a:lnTo>
                    <a:pt x="1191986" y="1426028"/>
                  </a:lnTo>
                  <a:lnTo>
                    <a:pt x="1230086" y="1431471"/>
                  </a:lnTo>
                  <a:lnTo>
                    <a:pt x="1219200" y="1311728"/>
                  </a:lnTo>
                  <a:lnTo>
                    <a:pt x="1257300" y="1289957"/>
                  </a:lnTo>
                  <a:lnTo>
                    <a:pt x="1235529" y="1257300"/>
                  </a:lnTo>
                  <a:lnTo>
                    <a:pt x="1273629" y="1148442"/>
                  </a:lnTo>
                  <a:lnTo>
                    <a:pt x="1284515" y="1094014"/>
                  </a:lnTo>
                  <a:lnTo>
                    <a:pt x="1366157" y="1083128"/>
                  </a:lnTo>
                  <a:lnTo>
                    <a:pt x="1300843" y="1028700"/>
                  </a:lnTo>
                  <a:lnTo>
                    <a:pt x="1311729" y="957942"/>
                  </a:lnTo>
                  <a:lnTo>
                    <a:pt x="1284515" y="908957"/>
                  </a:lnTo>
                  <a:lnTo>
                    <a:pt x="1235529" y="881742"/>
                  </a:lnTo>
                  <a:lnTo>
                    <a:pt x="1191986" y="854528"/>
                  </a:lnTo>
                  <a:lnTo>
                    <a:pt x="1186543" y="778328"/>
                  </a:lnTo>
                  <a:lnTo>
                    <a:pt x="1257300" y="740228"/>
                  </a:lnTo>
                  <a:lnTo>
                    <a:pt x="1213757" y="680357"/>
                  </a:lnTo>
                  <a:lnTo>
                    <a:pt x="1191986" y="642257"/>
                  </a:lnTo>
                  <a:lnTo>
                    <a:pt x="1235529" y="587828"/>
                  </a:lnTo>
                  <a:lnTo>
                    <a:pt x="1300843" y="522514"/>
                  </a:lnTo>
                  <a:lnTo>
                    <a:pt x="1366157" y="506185"/>
                  </a:lnTo>
                  <a:lnTo>
                    <a:pt x="1349829" y="397328"/>
                  </a:lnTo>
                  <a:lnTo>
                    <a:pt x="1436915" y="446314"/>
                  </a:lnTo>
                  <a:lnTo>
                    <a:pt x="1524000" y="413657"/>
                  </a:lnTo>
                  <a:lnTo>
                    <a:pt x="1556657" y="332014"/>
                  </a:lnTo>
                  <a:lnTo>
                    <a:pt x="1491343" y="244928"/>
                  </a:lnTo>
                  <a:lnTo>
                    <a:pt x="1404257" y="201385"/>
                  </a:lnTo>
                  <a:lnTo>
                    <a:pt x="1306286" y="125185"/>
                  </a:lnTo>
                  <a:lnTo>
                    <a:pt x="1240972" y="59871"/>
                  </a:lnTo>
                  <a:lnTo>
                    <a:pt x="1235529" y="27214"/>
                  </a:lnTo>
                  <a:lnTo>
                    <a:pt x="1202872" y="48985"/>
                  </a:lnTo>
                  <a:lnTo>
                    <a:pt x="1170215" y="0"/>
                  </a:lnTo>
                  <a:lnTo>
                    <a:pt x="1099457" y="81642"/>
                  </a:lnTo>
                  <a:lnTo>
                    <a:pt x="1066800" y="174171"/>
                  </a:lnTo>
                  <a:lnTo>
                    <a:pt x="1066800" y="244928"/>
                  </a:lnTo>
                  <a:lnTo>
                    <a:pt x="990600" y="293914"/>
                  </a:lnTo>
                  <a:lnTo>
                    <a:pt x="941615" y="239485"/>
                  </a:lnTo>
                  <a:lnTo>
                    <a:pt x="870857" y="244928"/>
                  </a:lnTo>
                  <a:lnTo>
                    <a:pt x="816429" y="174171"/>
                  </a:lnTo>
                  <a:lnTo>
                    <a:pt x="805543" y="244928"/>
                  </a:lnTo>
                  <a:lnTo>
                    <a:pt x="794657" y="293914"/>
                  </a:lnTo>
                  <a:lnTo>
                    <a:pt x="718457" y="381000"/>
                  </a:lnTo>
                  <a:lnTo>
                    <a:pt x="631372" y="429985"/>
                  </a:lnTo>
                  <a:lnTo>
                    <a:pt x="538843" y="468085"/>
                  </a:lnTo>
                  <a:lnTo>
                    <a:pt x="533400" y="402771"/>
                  </a:lnTo>
                  <a:close/>
                </a:path>
              </a:pathLst>
            </a:custGeom>
            <a:solidFill>
              <a:srgbClr val="FFFF00">
                <a:alpha val="47000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sp macro="" textlink="">
          <xdr:nvSpPr>
            <xdr:cNvPr id="138" name="รูปแบบอิสระ 137"/>
            <xdr:cNvSpPr/>
          </xdr:nvSpPr>
          <xdr:spPr>
            <a:xfrm>
              <a:off x="7511653" y="92225133"/>
              <a:ext cx="988559" cy="499551"/>
            </a:xfrm>
            <a:custGeom>
              <a:avLst/>
              <a:gdLst>
                <a:gd name="connsiteX0" fmla="*/ 0 w 996043"/>
                <a:gd name="connsiteY0" fmla="*/ 391885 h 500742"/>
                <a:gd name="connsiteX1" fmla="*/ 16329 w 996043"/>
                <a:gd name="connsiteY1" fmla="*/ 332014 h 500742"/>
                <a:gd name="connsiteX2" fmla="*/ 76200 w 996043"/>
                <a:gd name="connsiteY2" fmla="*/ 326571 h 500742"/>
                <a:gd name="connsiteX3" fmla="*/ 108857 w 996043"/>
                <a:gd name="connsiteY3" fmla="*/ 272142 h 500742"/>
                <a:gd name="connsiteX4" fmla="*/ 223157 w 996043"/>
                <a:gd name="connsiteY4" fmla="*/ 141514 h 500742"/>
                <a:gd name="connsiteX5" fmla="*/ 174172 w 996043"/>
                <a:gd name="connsiteY5" fmla="*/ 97971 h 500742"/>
                <a:gd name="connsiteX6" fmla="*/ 201386 w 996043"/>
                <a:gd name="connsiteY6" fmla="*/ 59871 h 500742"/>
                <a:gd name="connsiteX7" fmla="*/ 255815 w 996043"/>
                <a:gd name="connsiteY7" fmla="*/ 27214 h 500742"/>
                <a:gd name="connsiteX8" fmla="*/ 299357 w 996043"/>
                <a:gd name="connsiteY8" fmla="*/ 10885 h 500742"/>
                <a:gd name="connsiteX9" fmla="*/ 353786 w 996043"/>
                <a:gd name="connsiteY9" fmla="*/ 59871 h 500742"/>
                <a:gd name="connsiteX10" fmla="*/ 337457 w 996043"/>
                <a:gd name="connsiteY10" fmla="*/ 103414 h 500742"/>
                <a:gd name="connsiteX11" fmla="*/ 348343 w 996043"/>
                <a:gd name="connsiteY11" fmla="*/ 157842 h 500742"/>
                <a:gd name="connsiteX12" fmla="*/ 435429 w 996043"/>
                <a:gd name="connsiteY12" fmla="*/ 163285 h 500742"/>
                <a:gd name="connsiteX13" fmla="*/ 435429 w 996043"/>
                <a:gd name="connsiteY13" fmla="*/ 163285 h 500742"/>
                <a:gd name="connsiteX14" fmla="*/ 495300 w 996043"/>
                <a:gd name="connsiteY14" fmla="*/ 157842 h 500742"/>
                <a:gd name="connsiteX15" fmla="*/ 522515 w 996043"/>
                <a:gd name="connsiteY15" fmla="*/ 212271 h 500742"/>
                <a:gd name="connsiteX16" fmla="*/ 582386 w 996043"/>
                <a:gd name="connsiteY16" fmla="*/ 163285 h 500742"/>
                <a:gd name="connsiteX17" fmla="*/ 582386 w 996043"/>
                <a:gd name="connsiteY17" fmla="*/ 163285 h 500742"/>
                <a:gd name="connsiteX18" fmla="*/ 680357 w 996043"/>
                <a:gd name="connsiteY18" fmla="*/ 136071 h 500742"/>
                <a:gd name="connsiteX19" fmla="*/ 658586 w 996043"/>
                <a:gd name="connsiteY19" fmla="*/ 103414 h 500742"/>
                <a:gd name="connsiteX20" fmla="*/ 653143 w 996043"/>
                <a:gd name="connsiteY20" fmla="*/ 32657 h 500742"/>
                <a:gd name="connsiteX21" fmla="*/ 723900 w 996043"/>
                <a:gd name="connsiteY21" fmla="*/ 0 h 500742"/>
                <a:gd name="connsiteX22" fmla="*/ 805543 w 996043"/>
                <a:gd name="connsiteY22" fmla="*/ 5442 h 500742"/>
                <a:gd name="connsiteX23" fmla="*/ 865415 w 996043"/>
                <a:gd name="connsiteY23" fmla="*/ 5442 h 500742"/>
                <a:gd name="connsiteX24" fmla="*/ 887186 w 996043"/>
                <a:gd name="connsiteY24" fmla="*/ 59871 h 500742"/>
                <a:gd name="connsiteX25" fmla="*/ 941615 w 996043"/>
                <a:gd name="connsiteY25" fmla="*/ 81642 h 500742"/>
                <a:gd name="connsiteX26" fmla="*/ 919843 w 996043"/>
                <a:gd name="connsiteY26" fmla="*/ 136071 h 500742"/>
                <a:gd name="connsiteX27" fmla="*/ 985157 w 996043"/>
                <a:gd name="connsiteY27" fmla="*/ 125185 h 500742"/>
                <a:gd name="connsiteX28" fmla="*/ 996043 w 996043"/>
                <a:gd name="connsiteY28" fmla="*/ 288471 h 500742"/>
                <a:gd name="connsiteX29" fmla="*/ 642257 w 996043"/>
                <a:gd name="connsiteY29" fmla="*/ 462642 h 500742"/>
                <a:gd name="connsiteX30" fmla="*/ 555172 w 996043"/>
                <a:gd name="connsiteY30" fmla="*/ 495300 h 500742"/>
                <a:gd name="connsiteX31" fmla="*/ 489857 w 996043"/>
                <a:gd name="connsiteY31" fmla="*/ 473528 h 500742"/>
                <a:gd name="connsiteX32" fmla="*/ 391886 w 996043"/>
                <a:gd name="connsiteY32" fmla="*/ 500742 h 500742"/>
                <a:gd name="connsiteX33" fmla="*/ 206829 w 996043"/>
                <a:gd name="connsiteY33" fmla="*/ 495300 h 500742"/>
                <a:gd name="connsiteX34" fmla="*/ 119743 w 996043"/>
                <a:gd name="connsiteY34" fmla="*/ 457200 h 500742"/>
                <a:gd name="connsiteX35" fmla="*/ 103415 w 996043"/>
                <a:gd name="connsiteY35" fmla="*/ 473528 h 500742"/>
                <a:gd name="connsiteX36" fmla="*/ 103415 w 996043"/>
                <a:gd name="connsiteY36" fmla="*/ 419100 h 500742"/>
                <a:gd name="connsiteX37" fmla="*/ 0 w 996043"/>
                <a:gd name="connsiteY37" fmla="*/ 391885 h 5007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</a:cxnLst>
              <a:rect l="l" t="t" r="r" b="b"/>
              <a:pathLst>
                <a:path w="996043" h="500742">
                  <a:moveTo>
                    <a:pt x="0" y="391885"/>
                  </a:moveTo>
                  <a:lnTo>
                    <a:pt x="16329" y="332014"/>
                  </a:lnTo>
                  <a:lnTo>
                    <a:pt x="76200" y="326571"/>
                  </a:lnTo>
                  <a:lnTo>
                    <a:pt x="108857" y="272142"/>
                  </a:lnTo>
                  <a:lnTo>
                    <a:pt x="223157" y="141514"/>
                  </a:lnTo>
                  <a:lnTo>
                    <a:pt x="174172" y="97971"/>
                  </a:lnTo>
                  <a:lnTo>
                    <a:pt x="201386" y="59871"/>
                  </a:lnTo>
                  <a:lnTo>
                    <a:pt x="255815" y="27214"/>
                  </a:lnTo>
                  <a:lnTo>
                    <a:pt x="299357" y="10885"/>
                  </a:lnTo>
                  <a:lnTo>
                    <a:pt x="353786" y="59871"/>
                  </a:lnTo>
                  <a:lnTo>
                    <a:pt x="337457" y="103414"/>
                  </a:lnTo>
                  <a:lnTo>
                    <a:pt x="348343" y="157842"/>
                  </a:lnTo>
                  <a:lnTo>
                    <a:pt x="435429" y="163285"/>
                  </a:lnTo>
                  <a:lnTo>
                    <a:pt x="435429" y="163285"/>
                  </a:lnTo>
                  <a:lnTo>
                    <a:pt x="495300" y="157842"/>
                  </a:lnTo>
                  <a:lnTo>
                    <a:pt x="522515" y="212271"/>
                  </a:lnTo>
                  <a:lnTo>
                    <a:pt x="582386" y="163285"/>
                  </a:lnTo>
                  <a:lnTo>
                    <a:pt x="582386" y="163285"/>
                  </a:lnTo>
                  <a:lnTo>
                    <a:pt x="680357" y="136071"/>
                  </a:lnTo>
                  <a:lnTo>
                    <a:pt x="658586" y="103414"/>
                  </a:lnTo>
                  <a:lnTo>
                    <a:pt x="653143" y="32657"/>
                  </a:lnTo>
                  <a:lnTo>
                    <a:pt x="723900" y="0"/>
                  </a:lnTo>
                  <a:lnTo>
                    <a:pt x="805543" y="5442"/>
                  </a:lnTo>
                  <a:lnTo>
                    <a:pt x="865415" y="5442"/>
                  </a:lnTo>
                  <a:lnTo>
                    <a:pt x="887186" y="59871"/>
                  </a:lnTo>
                  <a:lnTo>
                    <a:pt x="941615" y="81642"/>
                  </a:lnTo>
                  <a:lnTo>
                    <a:pt x="919843" y="136071"/>
                  </a:lnTo>
                  <a:lnTo>
                    <a:pt x="985157" y="125185"/>
                  </a:lnTo>
                  <a:lnTo>
                    <a:pt x="996043" y="288471"/>
                  </a:lnTo>
                  <a:lnTo>
                    <a:pt x="642257" y="462642"/>
                  </a:lnTo>
                  <a:lnTo>
                    <a:pt x="555172" y="495300"/>
                  </a:lnTo>
                  <a:lnTo>
                    <a:pt x="489857" y="473528"/>
                  </a:lnTo>
                  <a:lnTo>
                    <a:pt x="391886" y="500742"/>
                  </a:lnTo>
                  <a:lnTo>
                    <a:pt x="206829" y="495300"/>
                  </a:lnTo>
                  <a:lnTo>
                    <a:pt x="119743" y="457200"/>
                  </a:lnTo>
                  <a:lnTo>
                    <a:pt x="103415" y="473528"/>
                  </a:lnTo>
                  <a:lnTo>
                    <a:pt x="103415" y="419100"/>
                  </a:lnTo>
                  <a:lnTo>
                    <a:pt x="0" y="391885"/>
                  </a:lnTo>
                  <a:close/>
                </a:path>
              </a:pathLst>
            </a:custGeom>
            <a:solidFill>
              <a:srgbClr val="7030A0">
                <a:alpha val="49000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sp macro="" textlink="">
          <xdr:nvSpPr>
            <xdr:cNvPr id="139" name="รูปแบบอิสระ 138"/>
            <xdr:cNvSpPr/>
          </xdr:nvSpPr>
          <xdr:spPr>
            <a:xfrm>
              <a:off x="7261282" y="92675699"/>
              <a:ext cx="894329" cy="834629"/>
            </a:xfrm>
            <a:custGeom>
              <a:avLst/>
              <a:gdLst>
                <a:gd name="connsiteX0" fmla="*/ 59871 w 898071"/>
                <a:gd name="connsiteY0" fmla="*/ 462643 h 838200"/>
                <a:gd name="connsiteX1" fmla="*/ 103414 w 898071"/>
                <a:gd name="connsiteY1" fmla="*/ 511628 h 838200"/>
                <a:gd name="connsiteX2" fmla="*/ 59871 w 898071"/>
                <a:gd name="connsiteY2" fmla="*/ 631371 h 838200"/>
                <a:gd name="connsiteX3" fmla="*/ 54428 w 898071"/>
                <a:gd name="connsiteY3" fmla="*/ 745671 h 838200"/>
                <a:gd name="connsiteX4" fmla="*/ 5443 w 898071"/>
                <a:gd name="connsiteY4" fmla="*/ 751114 h 838200"/>
                <a:gd name="connsiteX5" fmla="*/ 0 w 898071"/>
                <a:gd name="connsiteY5" fmla="*/ 821871 h 838200"/>
                <a:gd name="connsiteX6" fmla="*/ 81643 w 898071"/>
                <a:gd name="connsiteY6" fmla="*/ 838200 h 838200"/>
                <a:gd name="connsiteX7" fmla="*/ 108857 w 898071"/>
                <a:gd name="connsiteY7" fmla="*/ 789214 h 838200"/>
                <a:gd name="connsiteX8" fmla="*/ 168728 w 898071"/>
                <a:gd name="connsiteY8" fmla="*/ 783771 h 838200"/>
                <a:gd name="connsiteX9" fmla="*/ 244928 w 898071"/>
                <a:gd name="connsiteY9" fmla="*/ 783771 h 838200"/>
                <a:gd name="connsiteX10" fmla="*/ 266700 w 898071"/>
                <a:gd name="connsiteY10" fmla="*/ 767443 h 838200"/>
                <a:gd name="connsiteX11" fmla="*/ 304800 w 898071"/>
                <a:gd name="connsiteY11" fmla="*/ 778328 h 838200"/>
                <a:gd name="connsiteX12" fmla="*/ 348343 w 898071"/>
                <a:gd name="connsiteY12" fmla="*/ 767443 h 838200"/>
                <a:gd name="connsiteX13" fmla="*/ 375557 w 898071"/>
                <a:gd name="connsiteY13" fmla="*/ 707571 h 838200"/>
                <a:gd name="connsiteX14" fmla="*/ 440871 w 898071"/>
                <a:gd name="connsiteY14" fmla="*/ 696685 h 838200"/>
                <a:gd name="connsiteX15" fmla="*/ 424543 w 898071"/>
                <a:gd name="connsiteY15" fmla="*/ 631371 h 838200"/>
                <a:gd name="connsiteX16" fmla="*/ 435428 w 898071"/>
                <a:gd name="connsiteY16" fmla="*/ 560614 h 838200"/>
                <a:gd name="connsiteX17" fmla="*/ 653143 w 898071"/>
                <a:gd name="connsiteY17" fmla="*/ 587828 h 838200"/>
                <a:gd name="connsiteX18" fmla="*/ 734786 w 898071"/>
                <a:gd name="connsiteY18" fmla="*/ 571500 h 838200"/>
                <a:gd name="connsiteX19" fmla="*/ 778328 w 898071"/>
                <a:gd name="connsiteY19" fmla="*/ 506185 h 838200"/>
                <a:gd name="connsiteX20" fmla="*/ 827314 w 898071"/>
                <a:gd name="connsiteY20" fmla="*/ 337457 h 838200"/>
                <a:gd name="connsiteX21" fmla="*/ 898071 w 898071"/>
                <a:gd name="connsiteY21" fmla="*/ 321128 h 838200"/>
                <a:gd name="connsiteX22" fmla="*/ 827314 w 898071"/>
                <a:gd name="connsiteY22" fmla="*/ 16328 h 838200"/>
                <a:gd name="connsiteX23" fmla="*/ 789214 w 898071"/>
                <a:gd name="connsiteY23" fmla="*/ 48985 h 838200"/>
                <a:gd name="connsiteX24" fmla="*/ 718457 w 898071"/>
                <a:gd name="connsiteY24" fmla="*/ 27214 h 838200"/>
                <a:gd name="connsiteX25" fmla="*/ 636814 w 898071"/>
                <a:gd name="connsiteY25" fmla="*/ 59871 h 838200"/>
                <a:gd name="connsiteX26" fmla="*/ 457200 w 898071"/>
                <a:gd name="connsiteY26" fmla="*/ 43543 h 838200"/>
                <a:gd name="connsiteX27" fmla="*/ 359228 w 898071"/>
                <a:gd name="connsiteY27" fmla="*/ 0 h 838200"/>
                <a:gd name="connsiteX28" fmla="*/ 315686 w 898071"/>
                <a:gd name="connsiteY28" fmla="*/ 130628 h 838200"/>
                <a:gd name="connsiteX29" fmla="*/ 337457 w 898071"/>
                <a:gd name="connsiteY29" fmla="*/ 195943 h 838200"/>
                <a:gd name="connsiteX30" fmla="*/ 315686 w 898071"/>
                <a:gd name="connsiteY30" fmla="*/ 244928 h 838200"/>
                <a:gd name="connsiteX31" fmla="*/ 375557 w 898071"/>
                <a:gd name="connsiteY31" fmla="*/ 304800 h 838200"/>
                <a:gd name="connsiteX32" fmla="*/ 321128 w 898071"/>
                <a:gd name="connsiteY32" fmla="*/ 375557 h 838200"/>
                <a:gd name="connsiteX33" fmla="*/ 337457 w 898071"/>
                <a:gd name="connsiteY33" fmla="*/ 413657 h 838200"/>
                <a:gd name="connsiteX34" fmla="*/ 261257 w 898071"/>
                <a:gd name="connsiteY34" fmla="*/ 408214 h 838200"/>
                <a:gd name="connsiteX35" fmla="*/ 185057 w 898071"/>
                <a:gd name="connsiteY35" fmla="*/ 391885 h 838200"/>
                <a:gd name="connsiteX36" fmla="*/ 59871 w 898071"/>
                <a:gd name="connsiteY36" fmla="*/ 462643 h 838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</a:cxnLst>
              <a:rect l="l" t="t" r="r" b="b"/>
              <a:pathLst>
                <a:path w="898071" h="838200">
                  <a:moveTo>
                    <a:pt x="59871" y="462643"/>
                  </a:moveTo>
                  <a:lnTo>
                    <a:pt x="103414" y="511628"/>
                  </a:lnTo>
                  <a:lnTo>
                    <a:pt x="59871" y="631371"/>
                  </a:lnTo>
                  <a:lnTo>
                    <a:pt x="54428" y="745671"/>
                  </a:lnTo>
                  <a:lnTo>
                    <a:pt x="5443" y="751114"/>
                  </a:lnTo>
                  <a:lnTo>
                    <a:pt x="0" y="821871"/>
                  </a:lnTo>
                  <a:lnTo>
                    <a:pt x="81643" y="838200"/>
                  </a:lnTo>
                  <a:lnTo>
                    <a:pt x="108857" y="789214"/>
                  </a:lnTo>
                  <a:lnTo>
                    <a:pt x="168728" y="783771"/>
                  </a:lnTo>
                  <a:lnTo>
                    <a:pt x="244928" y="783771"/>
                  </a:lnTo>
                  <a:lnTo>
                    <a:pt x="266700" y="767443"/>
                  </a:lnTo>
                  <a:lnTo>
                    <a:pt x="304800" y="778328"/>
                  </a:lnTo>
                  <a:lnTo>
                    <a:pt x="348343" y="767443"/>
                  </a:lnTo>
                  <a:lnTo>
                    <a:pt x="375557" y="707571"/>
                  </a:lnTo>
                  <a:lnTo>
                    <a:pt x="440871" y="696685"/>
                  </a:lnTo>
                  <a:lnTo>
                    <a:pt x="424543" y="631371"/>
                  </a:lnTo>
                  <a:lnTo>
                    <a:pt x="435428" y="560614"/>
                  </a:lnTo>
                  <a:lnTo>
                    <a:pt x="653143" y="587828"/>
                  </a:lnTo>
                  <a:lnTo>
                    <a:pt x="734786" y="571500"/>
                  </a:lnTo>
                  <a:lnTo>
                    <a:pt x="778328" y="506185"/>
                  </a:lnTo>
                  <a:lnTo>
                    <a:pt x="827314" y="337457"/>
                  </a:lnTo>
                  <a:lnTo>
                    <a:pt x="898071" y="321128"/>
                  </a:lnTo>
                  <a:lnTo>
                    <a:pt x="827314" y="16328"/>
                  </a:lnTo>
                  <a:lnTo>
                    <a:pt x="789214" y="48985"/>
                  </a:lnTo>
                  <a:lnTo>
                    <a:pt x="718457" y="27214"/>
                  </a:lnTo>
                  <a:lnTo>
                    <a:pt x="636814" y="59871"/>
                  </a:lnTo>
                  <a:lnTo>
                    <a:pt x="457200" y="43543"/>
                  </a:lnTo>
                  <a:lnTo>
                    <a:pt x="359228" y="0"/>
                  </a:lnTo>
                  <a:lnTo>
                    <a:pt x="315686" y="130628"/>
                  </a:lnTo>
                  <a:lnTo>
                    <a:pt x="337457" y="195943"/>
                  </a:lnTo>
                  <a:lnTo>
                    <a:pt x="315686" y="244928"/>
                  </a:lnTo>
                  <a:lnTo>
                    <a:pt x="375557" y="304800"/>
                  </a:lnTo>
                  <a:lnTo>
                    <a:pt x="321128" y="375557"/>
                  </a:lnTo>
                  <a:lnTo>
                    <a:pt x="337457" y="413657"/>
                  </a:lnTo>
                  <a:lnTo>
                    <a:pt x="261257" y="408214"/>
                  </a:lnTo>
                  <a:lnTo>
                    <a:pt x="185057" y="391885"/>
                  </a:lnTo>
                  <a:lnTo>
                    <a:pt x="59871" y="462643"/>
                  </a:lnTo>
                  <a:close/>
                </a:path>
              </a:pathLst>
            </a:custGeom>
            <a:solidFill>
              <a:srgbClr val="FFC000">
                <a:alpha val="36000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</xdr:grpSp>
      <xdr:sp macro="" textlink="">
        <xdr:nvSpPr>
          <xdr:cNvPr id="147" name="รูปแบบอิสระ 146"/>
          <xdr:cNvSpPr/>
        </xdr:nvSpPr>
        <xdr:spPr>
          <a:xfrm>
            <a:off x="8678956" y="90252176"/>
            <a:ext cx="386953" cy="570450"/>
          </a:xfrm>
          <a:custGeom>
            <a:avLst/>
            <a:gdLst>
              <a:gd name="connsiteX0" fmla="*/ 339328 w 386953"/>
              <a:gd name="connsiteY0" fmla="*/ 0 h 571500"/>
              <a:gd name="connsiteX1" fmla="*/ 375047 w 386953"/>
              <a:gd name="connsiteY1" fmla="*/ 35718 h 571500"/>
              <a:gd name="connsiteX2" fmla="*/ 345281 w 386953"/>
              <a:gd name="connsiteY2" fmla="*/ 77390 h 571500"/>
              <a:gd name="connsiteX3" fmla="*/ 327422 w 386953"/>
              <a:gd name="connsiteY3" fmla="*/ 142875 h 571500"/>
              <a:gd name="connsiteX4" fmla="*/ 357187 w 386953"/>
              <a:gd name="connsiteY4" fmla="*/ 178593 h 571500"/>
              <a:gd name="connsiteX5" fmla="*/ 386953 w 386953"/>
              <a:gd name="connsiteY5" fmla="*/ 238125 h 571500"/>
              <a:gd name="connsiteX6" fmla="*/ 363140 w 386953"/>
              <a:gd name="connsiteY6" fmla="*/ 333375 h 571500"/>
              <a:gd name="connsiteX7" fmla="*/ 363140 w 386953"/>
              <a:gd name="connsiteY7" fmla="*/ 333375 h 571500"/>
              <a:gd name="connsiteX8" fmla="*/ 291703 w 386953"/>
              <a:gd name="connsiteY8" fmla="*/ 321468 h 571500"/>
              <a:gd name="connsiteX9" fmla="*/ 267890 w 386953"/>
              <a:gd name="connsiteY9" fmla="*/ 309562 h 571500"/>
              <a:gd name="connsiteX10" fmla="*/ 255984 w 386953"/>
              <a:gd name="connsiteY10" fmla="*/ 363140 h 571500"/>
              <a:gd name="connsiteX11" fmla="*/ 279797 w 386953"/>
              <a:gd name="connsiteY11" fmla="*/ 452437 h 571500"/>
              <a:gd name="connsiteX12" fmla="*/ 244078 w 386953"/>
              <a:gd name="connsiteY12" fmla="*/ 511968 h 571500"/>
              <a:gd name="connsiteX13" fmla="*/ 196453 w 386953"/>
              <a:gd name="connsiteY13" fmla="*/ 488156 h 571500"/>
              <a:gd name="connsiteX14" fmla="*/ 130968 w 386953"/>
              <a:gd name="connsiteY14" fmla="*/ 529828 h 571500"/>
              <a:gd name="connsiteX15" fmla="*/ 95250 w 386953"/>
              <a:gd name="connsiteY15" fmla="*/ 571500 h 571500"/>
              <a:gd name="connsiteX16" fmla="*/ 41672 w 386953"/>
              <a:gd name="connsiteY16" fmla="*/ 565547 h 571500"/>
              <a:gd name="connsiteX17" fmla="*/ 0 w 386953"/>
              <a:gd name="connsiteY17" fmla="*/ 458390 h 571500"/>
              <a:gd name="connsiteX18" fmla="*/ 29765 w 386953"/>
              <a:gd name="connsiteY18" fmla="*/ 416718 h 571500"/>
              <a:gd name="connsiteX19" fmla="*/ 107156 w 386953"/>
              <a:gd name="connsiteY19" fmla="*/ 375047 h 571500"/>
              <a:gd name="connsiteX20" fmla="*/ 136922 w 386953"/>
              <a:gd name="connsiteY20" fmla="*/ 309562 h 571500"/>
              <a:gd name="connsiteX21" fmla="*/ 89297 w 386953"/>
              <a:gd name="connsiteY21" fmla="*/ 238125 h 571500"/>
              <a:gd name="connsiteX22" fmla="*/ 119062 w 386953"/>
              <a:gd name="connsiteY22" fmla="*/ 166687 h 571500"/>
              <a:gd name="connsiteX23" fmla="*/ 154781 w 386953"/>
              <a:gd name="connsiteY23" fmla="*/ 190500 h 571500"/>
              <a:gd name="connsiteX24" fmla="*/ 220265 w 386953"/>
              <a:gd name="connsiteY24" fmla="*/ 148828 h 571500"/>
              <a:gd name="connsiteX25" fmla="*/ 267890 w 386953"/>
              <a:gd name="connsiteY25" fmla="*/ 95250 h 571500"/>
              <a:gd name="connsiteX26" fmla="*/ 250031 w 386953"/>
              <a:gd name="connsiteY26" fmla="*/ 29765 h 571500"/>
              <a:gd name="connsiteX27" fmla="*/ 339328 w 386953"/>
              <a:gd name="connsiteY27" fmla="*/ 0 h 5715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</a:cxnLst>
            <a:rect l="l" t="t" r="r" b="b"/>
            <a:pathLst>
              <a:path w="386953" h="571500">
                <a:moveTo>
                  <a:pt x="339328" y="0"/>
                </a:moveTo>
                <a:lnTo>
                  <a:pt x="375047" y="35718"/>
                </a:lnTo>
                <a:lnTo>
                  <a:pt x="345281" y="77390"/>
                </a:lnTo>
                <a:lnTo>
                  <a:pt x="327422" y="142875"/>
                </a:lnTo>
                <a:lnTo>
                  <a:pt x="357187" y="178593"/>
                </a:lnTo>
                <a:lnTo>
                  <a:pt x="386953" y="238125"/>
                </a:lnTo>
                <a:lnTo>
                  <a:pt x="363140" y="333375"/>
                </a:lnTo>
                <a:lnTo>
                  <a:pt x="363140" y="333375"/>
                </a:lnTo>
                <a:lnTo>
                  <a:pt x="291703" y="321468"/>
                </a:lnTo>
                <a:lnTo>
                  <a:pt x="267890" y="309562"/>
                </a:lnTo>
                <a:lnTo>
                  <a:pt x="255984" y="363140"/>
                </a:lnTo>
                <a:lnTo>
                  <a:pt x="279797" y="452437"/>
                </a:lnTo>
                <a:lnTo>
                  <a:pt x="244078" y="511968"/>
                </a:lnTo>
                <a:lnTo>
                  <a:pt x="196453" y="488156"/>
                </a:lnTo>
                <a:lnTo>
                  <a:pt x="130968" y="529828"/>
                </a:lnTo>
                <a:lnTo>
                  <a:pt x="95250" y="571500"/>
                </a:lnTo>
                <a:lnTo>
                  <a:pt x="41672" y="565547"/>
                </a:lnTo>
                <a:lnTo>
                  <a:pt x="0" y="458390"/>
                </a:lnTo>
                <a:lnTo>
                  <a:pt x="29765" y="416718"/>
                </a:lnTo>
                <a:lnTo>
                  <a:pt x="107156" y="375047"/>
                </a:lnTo>
                <a:lnTo>
                  <a:pt x="136922" y="309562"/>
                </a:lnTo>
                <a:lnTo>
                  <a:pt x="89297" y="238125"/>
                </a:lnTo>
                <a:lnTo>
                  <a:pt x="119062" y="166687"/>
                </a:lnTo>
                <a:lnTo>
                  <a:pt x="154781" y="190500"/>
                </a:lnTo>
                <a:lnTo>
                  <a:pt x="220265" y="148828"/>
                </a:lnTo>
                <a:lnTo>
                  <a:pt x="267890" y="95250"/>
                </a:lnTo>
                <a:lnTo>
                  <a:pt x="250031" y="29765"/>
                </a:lnTo>
                <a:lnTo>
                  <a:pt x="339328" y="0"/>
                </a:lnTo>
                <a:close/>
              </a:path>
            </a:pathLst>
          </a:custGeom>
          <a:solidFill>
            <a:srgbClr val="B97353">
              <a:alpha val="4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6</xdr:col>
      <xdr:colOff>275665</xdr:colOff>
      <xdr:row>314</xdr:row>
      <xdr:rowOff>67235</xdr:rowOff>
    </xdr:from>
    <xdr:to>
      <xdr:col>6</xdr:col>
      <xdr:colOff>715166</xdr:colOff>
      <xdr:row>320</xdr:row>
      <xdr:rowOff>267890</xdr:rowOff>
    </xdr:to>
    <xdr:grpSp>
      <xdr:nvGrpSpPr>
        <xdr:cNvPr id="151" name="กลุ่ม 150"/>
        <xdr:cNvGrpSpPr/>
      </xdr:nvGrpSpPr>
      <xdr:grpSpPr>
        <a:xfrm>
          <a:off x="5923990" y="92193035"/>
          <a:ext cx="439501" cy="1972305"/>
          <a:chOff x="5767035" y="93263148"/>
          <a:chExt cx="439501" cy="2039394"/>
        </a:xfrm>
      </xdr:grpSpPr>
      <xdr:sp macro="" textlink="">
        <xdr:nvSpPr>
          <xdr:cNvPr id="141" name="สี่เหลี่ยมผืนผ้า 140"/>
          <xdr:cNvSpPr/>
        </xdr:nvSpPr>
        <xdr:spPr>
          <a:xfrm>
            <a:off x="5771517" y="93263148"/>
            <a:ext cx="403412" cy="212912"/>
          </a:xfrm>
          <a:prstGeom prst="rect">
            <a:avLst/>
          </a:prstGeom>
          <a:solidFill>
            <a:srgbClr val="0070C0">
              <a:alpha val="53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2" name="สี่เหลี่ยมผืนผ้า 141"/>
          <xdr:cNvSpPr/>
        </xdr:nvSpPr>
        <xdr:spPr>
          <a:xfrm>
            <a:off x="5767035" y="93565122"/>
            <a:ext cx="403412" cy="212912"/>
          </a:xfrm>
          <a:prstGeom prst="rect">
            <a:avLst/>
          </a:prstGeom>
          <a:solidFill>
            <a:srgbClr val="FF0000">
              <a:alpha val="54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3" name="สี่เหลี่ยมผืนผ้า 142"/>
          <xdr:cNvSpPr/>
        </xdr:nvSpPr>
        <xdr:spPr>
          <a:xfrm>
            <a:off x="5773759" y="93878303"/>
            <a:ext cx="403412" cy="212912"/>
          </a:xfrm>
          <a:prstGeom prst="rect">
            <a:avLst/>
          </a:prstGeom>
          <a:solidFill>
            <a:srgbClr val="7030A0">
              <a:alpha val="49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4" name="สี่เหลี่ยมผืนผ้า 143"/>
          <xdr:cNvSpPr/>
        </xdr:nvSpPr>
        <xdr:spPr>
          <a:xfrm>
            <a:off x="5780482" y="94180277"/>
            <a:ext cx="403412" cy="212912"/>
          </a:xfrm>
          <a:prstGeom prst="rect">
            <a:avLst/>
          </a:prstGeom>
          <a:solidFill>
            <a:srgbClr val="FFC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45" name="สี่เหลี่ยมผืนผ้า 144"/>
          <xdr:cNvSpPr/>
        </xdr:nvSpPr>
        <xdr:spPr>
          <a:xfrm>
            <a:off x="5787206" y="94504662"/>
            <a:ext cx="403412" cy="212912"/>
          </a:xfrm>
          <a:prstGeom prst="rect">
            <a:avLst/>
          </a:prstGeom>
          <a:solidFill>
            <a:srgbClr val="00B050">
              <a:alpha val="5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rgbClr val="00B050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8" name="สี่เหลี่ยมผืนผ้า 147"/>
          <xdr:cNvSpPr/>
        </xdr:nvSpPr>
        <xdr:spPr>
          <a:xfrm>
            <a:off x="5787631" y="94807145"/>
            <a:ext cx="403412" cy="212912"/>
          </a:xfrm>
          <a:prstGeom prst="rect">
            <a:avLst/>
          </a:prstGeom>
          <a:solidFill>
            <a:srgbClr val="FFFF00">
              <a:alpha val="47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9" name="สี่เหลี่ยมผืนผ้า 148"/>
          <xdr:cNvSpPr/>
        </xdr:nvSpPr>
        <xdr:spPr>
          <a:xfrm>
            <a:off x="5803124" y="95089630"/>
            <a:ext cx="403412" cy="212912"/>
          </a:xfrm>
          <a:prstGeom prst="rect">
            <a:avLst/>
          </a:prstGeom>
          <a:solidFill>
            <a:srgbClr val="B97353">
              <a:alpha val="4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 editAs="oneCell">
    <xdr:from>
      <xdr:col>1</xdr:col>
      <xdr:colOff>233176</xdr:colOff>
      <xdr:row>103</xdr:row>
      <xdr:rowOff>174421</xdr:rowOff>
    </xdr:from>
    <xdr:to>
      <xdr:col>5</xdr:col>
      <xdr:colOff>300593</xdr:colOff>
      <xdr:row>112</xdr:row>
      <xdr:rowOff>118206</xdr:rowOff>
    </xdr:to>
    <xdr:pic>
      <xdr:nvPicPr>
        <xdr:cNvPr id="152" name="รูปภาพ 15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5497" y="29606671"/>
          <a:ext cx="3891025" cy="2637999"/>
        </a:xfrm>
        <a:prstGeom prst="rect">
          <a:avLst/>
        </a:prstGeom>
      </xdr:spPr>
    </xdr:pic>
    <xdr:clientData/>
  </xdr:twoCellAnchor>
  <xdr:twoCellAnchor>
    <xdr:from>
      <xdr:col>5</xdr:col>
      <xdr:colOff>636442</xdr:colOff>
      <xdr:row>103</xdr:row>
      <xdr:rowOff>113672</xdr:rowOff>
    </xdr:from>
    <xdr:to>
      <xdr:col>9</xdr:col>
      <xdr:colOff>993631</xdr:colOff>
      <xdr:row>113</xdr:row>
      <xdr:rowOff>271895</xdr:rowOff>
    </xdr:to>
    <xdr:grpSp>
      <xdr:nvGrpSpPr>
        <xdr:cNvPr id="155" name="กลุ่ม 154"/>
        <xdr:cNvGrpSpPr/>
      </xdr:nvGrpSpPr>
      <xdr:grpSpPr>
        <a:xfrm>
          <a:off x="5084617" y="29517347"/>
          <a:ext cx="4443414" cy="3110973"/>
          <a:chOff x="16832035" y="30420130"/>
          <a:chExt cx="7179129" cy="5064578"/>
        </a:xfrm>
      </xdr:grpSpPr>
      <xdr:pic>
        <xdr:nvPicPr>
          <xdr:cNvPr id="153" name="รูปภาพ 152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832035" y="30420130"/>
            <a:ext cx="7179129" cy="5064578"/>
          </a:xfrm>
          <a:prstGeom prst="rect">
            <a:avLst/>
          </a:prstGeom>
        </xdr:spPr>
      </xdr:pic>
      <xdr:sp macro="" textlink="">
        <xdr:nvSpPr>
          <xdr:cNvPr id="154" name="สี่เหลี่ยมผืนผ้า 153"/>
          <xdr:cNvSpPr/>
        </xdr:nvSpPr>
        <xdr:spPr>
          <a:xfrm>
            <a:off x="17308286" y="34766250"/>
            <a:ext cx="748393" cy="44903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544284</xdr:colOff>
      <xdr:row>36</xdr:row>
      <xdr:rowOff>54429</xdr:rowOff>
    </xdr:from>
    <xdr:to>
      <xdr:col>10</xdr:col>
      <xdr:colOff>707571</xdr:colOff>
      <xdr:row>39</xdr:row>
      <xdr:rowOff>244929</xdr:rowOff>
    </xdr:to>
    <xdr:sp macro="" textlink="">
      <xdr:nvSpPr>
        <xdr:cNvPr id="176" name="TextBox 175"/>
        <xdr:cNvSpPr txBox="1"/>
      </xdr:nvSpPr>
      <xdr:spPr>
        <a:xfrm>
          <a:off x="9007927" y="10899322"/>
          <a:ext cx="1265465" cy="108857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พิจารณาประเภทที่มากที่สุดจาก </a:t>
          </a:r>
          <a:r>
            <a:rPr lang="en-US" sz="1100"/>
            <a:t>SDA</a:t>
          </a:r>
          <a:r>
            <a:rPr lang="en-US" sz="1100" baseline="0"/>
            <a:t> </a:t>
          </a:r>
          <a:r>
            <a:rPr lang="th-TH" sz="1100" baseline="0"/>
            <a:t>และ </a:t>
          </a:r>
          <a:r>
            <a:rPr lang="en-US" sz="1100" baseline="0"/>
            <a:t>SD1 </a:t>
          </a:r>
          <a:r>
            <a:rPr lang="th-TH" sz="1100" baseline="0"/>
            <a:t>เพื่อเลือกประเภทออกแบบ</a:t>
          </a:r>
          <a:endParaRPr lang="th-TH" sz="1100"/>
        </a:p>
        <a:p>
          <a:endParaRPr lang="th-TH" sz="1100"/>
        </a:p>
      </xdr:txBody>
    </xdr:sp>
    <xdr:clientData/>
  </xdr:twoCellAnchor>
  <xdr:twoCellAnchor>
    <xdr:from>
      <xdr:col>1</xdr:col>
      <xdr:colOff>334969</xdr:colOff>
      <xdr:row>161</xdr:row>
      <xdr:rowOff>166687</xdr:rowOff>
    </xdr:from>
    <xdr:to>
      <xdr:col>6</xdr:col>
      <xdr:colOff>788027</xdr:colOff>
      <xdr:row>167</xdr:row>
      <xdr:rowOff>181621</xdr:rowOff>
    </xdr:to>
    <xdr:sp macro="" textlink="">
      <xdr:nvSpPr>
        <xdr:cNvPr id="189" name="TextBox 188"/>
        <xdr:cNvSpPr txBox="1"/>
      </xdr:nvSpPr>
      <xdr:spPr>
        <a:xfrm>
          <a:off x="954094" y="45553312"/>
          <a:ext cx="5382246" cy="172943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รายการคำนวณนี้ใช้สำหรับอาคารที่มีรูปทรงเสถียรภาพ</a:t>
          </a:r>
        </a:p>
        <a:p>
          <a:r>
            <a:rPr lang="th-TH" sz="1800"/>
            <a:t>อาทิ </a:t>
          </a:r>
          <a:r>
            <a:rPr lang="en-US" sz="1800"/>
            <a:t>4</a:t>
          </a:r>
          <a:r>
            <a:rPr lang="en-US" sz="1800" baseline="0"/>
            <a:t> </a:t>
          </a:r>
          <a:r>
            <a:rPr lang="th-TH" sz="1800" baseline="0"/>
            <a:t>เหลี่ยมจุตรัส</a:t>
          </a:r>
          <a:r>
            <a:rPr lang="en-US" sz="1800" baseline="0"/>
            <a:t>, 4 </a:t>
          </a:r>
          <a:r>
            <a:rPr lang="th-TH" sz="1800" baseline="0"/>
            <a:t>เหลี่ยมผืนผ้า </a:t>
          </a:r>
          <a:r>
            <a:rPr lang="en-US" sz="1800" baseline="0"/>
            <a:t>,</a:t>
          </a:r>
          <a:r>
            <a:rPr lang="th-TH" sz="1800" baseline="0"/>
            <a:t>ทรงกลม </a:t>
          </a:r>
          <a:r>
            <a:rPr lang="en-US" sz="1800" baseline="0"/>
            <a:t>6-12</a:t>
          </a:r>
          <a:r>
            <a:rPr lang="th-TH" sz="1800" baseline="0"/>
            <a:t>เหลี่ยมเท่านั้นจึงไม่คิดการบิดตัวของอาคารหากเป็นรูปทรง ตัว </a:t>
          </a:r>
          <a:r>
            <a:rPr lang="en-US" sz="1800" baseline="0"/>
            <a:t>L, U </a:t>
          </a:r>
          <a:r>
            <a:rPr lang="th-TH" sz="1800" baseline="0"/>
            <a:t>หรืออื่นๆตามที่กล่าวมาข้างต้นจะต้องใช้</a:t>
          </a:r>
        </a:p>
        <a:p>
          <a:r>
            <a:rPr lang="th-TH" sz="1800" baseline="0"/>
            <a:t>วิธีพลศาสตร์ในการออกแบบ</a:t>
          </a:r>
        </a:p>
        <a:p>
          <a:endParaRPr lang="th-TH" sz="1800"/>
        </a:p>
      </xdr:txBody>
    </xdr:sp>
    <xdr:clientData/>
  </xdr:twoCellAnchor>
  <xdr:twoCellAnchor editAs="oneCell">
    <xdr:from>
      <xdr:col>7</xdr:col>
      <xdr:colOff>71437</xdr:colOff>
      <xdr:row>137</xdr:row>
      <xdr:rowOff>23813</xdr:rowOff>
    </xdr:from>
    <xdr:to>
      <xdr:col>10</xdr:col>
      <xdr:colOff>809974</xdr:colOff>
      <xdr:row>145</xdr:row>
      <xdr:rowOff>261938</xdr:rowOff>
    </xdr:to>
    <xdr:pic>
      <xdr:nvPicPr>
        <xdr:cNvPr id="190" name="รูปภาพ 18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10375" y="38552438"/>
          <a:ext cx="3548412" cy="2524125"/>
        </a:xfrm>
        <a:prstGeom prst="rect">
          <a:avLst/>
        </a:prstGeom>
      </xdr:spPr>
    </xdr:pic>
    <xdr:clientData/>
  </xdr:twoCellAnchor>
  <xdr:twoCellAnchor>
    <xdr:from>
      <xdr:col>1</xdr:col>
      <xdr:colOff>595313</xdr:colOff>
      <xdr:row>217</xdr:row>
      <xdr:rowOff>142875</xdr:rowOff>
    </xdr:from>
    <xdr:to>
      <xdr:col>6</xdr:col>
      <xdr:colOff>1048371</xdr:colOff>
      <xdr:row>223</xdr:row>
      <xdr:rowOff>157809</xdr:rowOff>
    </xdr:to>
    <xdr:sp macro="" textlink="">
      <xdr:nvSpPr>
        <xdr:cNvPr id="192" name="TextBox 191"/>
        <xdr:cNvSpPr txBox="1"/>
      </xdr:nvSpPr>
      <xdr:spPr>
        <a:xfrm>
          <a:off x="1214438" y="61626750"/>
          <a:ext cx="5382246" cy="172943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รายการคำนวณนี้ใช้สำหรับอาคารที่มีรูปทรงเสถียรภาพ</a:t>
          </a:r>
        </a:p>
        <a:p>
          <a:r>
            <a:rPr lang="th-TH" sz="1800"/>
            <a:t>อาทิ </a:t>
          </a:r>
          <a:r>
            <a:rPr lang="en-US" sz="1800"/>
            <a:t>4</a:t>
          </a:r>
          <a:r>
            <a:rPr lang="en-US" sz="1800" baseline="0"/>
            <a:t> </a:t>
          </a:r>
          <a:r>
            <a:rPr lang="th-TH" sz="1800" baseline="0"/>
            <a:t>เหลี่ยมจุตรัส</a:t>
          </a:r>
          <a:r>
            <a:rPr lang="en-US" sz="1800" baseline="0"/>
            <a:t>, 4 </a:t>
          </a:r>
          <a:r>
            <a:rPr lang="th-TH" sz="1800" baseline="0"/>
            <a:t>เหลี่ยมผืนผ้า </a:t>
          </a:r>
          <a:r>
            <a:rPr lang="en-US" sz="1800" baseline="0"/>
            <a:t>,</a:t>
          </a:r>
          <a:r>
            <a:rPr lang="th-TH" sz="1800" baseline="0"/>
            <a:t>ทรงกลม </a:t>
          </a:r>
          <a:r>
            <a:rPr lang="en-US" sz="1800" baseline="0"/>
            <a:t>6-12</a:t>
          </a:r>
          <a:r>
            <a:rPr lang="th-TH" sz="1800" baseline="0"/>
            <a:t>เหลี่ยมเท่านั้นจึงไม่คิดการบิดตัวของอาคารหากเป็นรูปทรง ตัว </a:t>
          </a:r>
          <a:r>
            <a:rPr lang="en-US" sz="1800" baseline="0"/>
            <a:t>L, U </a:t>
          </a:r>
          <a:r>
            <a:rPr lang="th-TH" sz="1800" baseline="0"/>
            <a:t>หรืออื่นๆตามที่กล่าวมาข้างต้นจะต้องใช้</a:t>
          </a:r>
        </a:p>
        <a:p>
          <a:r>
            <a:rPr lang="th-TH" sz="1800" baseline="0"/>
            <a:t>วิธีพลศาสตร์ในการออกแบบ</a:t>
          </a:r>
        </a:p>
        <a:p>
          <a:endParaRPr lang="th-TH" sz="1800"/>
        </a:p>
      </xdr:txBody>
    </xdr:sp>
    <xdr:clientData/>
  </xdr:twoCellAnchor>
  <xdr:twoCellAnchor>
    <xdr:from>
      <xdr:col>1</xdr:col>
      <xdr:colOff>976313</xdr:colOff>
      <xdr:row>276</xdr:row>
      <xdr:rowOff>0</xdr:rowOff>
    </xdr:from>
    <xdr:to>
      <xdr:col>7</xdr:col>
      <xdr:colOff>238746</xdr:colOff>
      <xdr:row>282</xdr:row>
      <xdr:rowOff>14934</xdr:rowOff>
    </xdr:to>
    <xdr:sp macro="" textlink="">
      <xdr:nvSpPr>
        <xdr:cNvPr id="193" name="TextBox 192"/>
        <xdr:cNvSpPr txBox="1"/>
      </xdr:nvSpPr>
      <xdr:spPr>
        <a:xfrm>
          <a:off x="1595438" y="78390750"/>
          <a:ext cx="5382246" cy="172943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รายการคำนวณนี้ใช้สำหรับอาคารที่มีรูปทรงเสถียรภาพ</a:t>
          </a:r>
        </a:p>
        <a:p>
          <a:r>
            <a:rPr lang="th-TH" sz="1800"/>
            <a:t>อาทิ </a:t>
          </a:r>
          <a:r>
            <a:rPr lang="en-US" sz="1800"/>
            <a:t>4</a:t>
          </a:r>
          <a:r>
            <a:rPr lang="en-US" sz="1800" baseline="0"/>
            <a:t> </a:t>
          </a:r>
          <a:r>
            <a:rPr lang="th-TH" sz="1800" baseline="0"/>
            <a:t>เหลี่ยมจุตรัส</a:t>
          </a:r>
          <a:r>
            <a:rPr lang="en-US" sz="1800" baseline="0"/>
            <a:t>, 4 </a:t>
          </a:r>
          <a:r>
            <a:rPr lang="th-TH" sz="1800" baseline="0"/>
            <a:t>เหลี่ยมผืนผ้า </a:t>
          </a:r>
          <a:r>
            <a:rPr lang="en-US" sz="1800" baseline="0"/>
            <a:t>,</a:t>
          </a:r>
          <a:r>
            <a:rPr lang="th-TH" sz="1800" baseline="0"/>
            <a:t>ทรงกลม </a:t>
          </a:r>
          <a:r>
            <a:rPr lang="en-US" sz="1800" baseline="0"/>
            <a:t>6-12</a:t>
          </a:r>
          <a:r>
            <a:rPr lang="th-TH" sz="1800" baseline="0"/>
            <a:t>เหลี่ยมเท่านั้นจึงไม่คิดการบิดตัวของอาคารหากเป็นรูปทรง ตัว </a:t>
          </a:r>
          <a:r>
            <a:rPr lang="en-US" sz="1800" baseline="0"/>
            <a:t>L, U </a:t>
          </a:r>
          <a:r>
            <a:rPr lang="th-TH" sz="1800" baseline="0"/>
            <a:t>หรืออื่นๆตามที่กล่าวมาข้างต้นจะต้องใช้</a:t>
          </a:r>
        </a:p>
        <a:p>
          <a:r>
            <a:rPr lang="th-TH" sz="1800" baseline="0"/>
            <a:t>วิธีพลศาสตร์ในการออกแบบ</a:t>
          </a:r>
        </a:p>
        <a:p>
          <a:endParaRPr lang="th-TH" sz="1800"/>
        </a:p>
      </xdr:txBody>
    </xdr:sp>
    <xdr:clientData/>
  </xdr:twoCellAnchor>
  <xdr:twoCellAnchor>
    <xdr:from>
      <xdr:col>9</xdr:col>
      <xdr:colOff>5845</xdr:colOff>
      <xdr:row>39</xdr:row>
      <xdr:rowOff>88657</xdr:rowOff>
    </xdr:from>
    <xdr:to>
      <xdr:col>9</xdr:col>
      <xdr:colOff>560194</xdr:colOff>
      <xdr:row>40</xdr:row>
      <xdr:rowOff>179865</xdr:rowOff>
    </xdr:to>
    <xdr:sp macro="" textlink="">
      <xdr:nvSpPr>
        <xdr:cNvPr id="11" name="ลูกศรลง 10"/>
        <xdr:cNvSpPr/>
      </xdr:nvSpPr>
      <xdr:spPr>
        <a:xfrm rot="3344215">
          <a:off x="8388094" y="11749729"/>
          <a:ext cx="390565" cy="554349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505691</xdr:colOff>
      <xdr:row>290</xdr:row>
      <xdr:rowOff>266700</xdr:rowOff>
    </xdr:from>
    <xdr:to>
      <xdr:col>3</xdr:col>
      <xdr:colOff>38101</xdr:colOff>
      <xdr:row>331</xdr:row>
      <xdr:rowOff>0</xdr:rowOff>
    </xdr:to>
    <xdr:sp macro="" textlink="">
      <xdr:nvSpPr>
        <xdr:cNvPr id="8" name="รูปแบบอิสระ 7"/>
        <xdr:cNvSpPr/>
      </xdr:nvSpPr>
      <xdr:spPr>
        <a:xfrm>
          <a:off x="1111827" y="84935291"/>
          <a:ext cx="1541319" cy="11838709"/>
        </a:xfrm>
        <a:custGeom>
          <a:avLst/>
          <a:gdLst>
            <a:gd name="connsiteX0" fmla="*/ 1562100 w 1562100"/>
            <a:gd name="connsiteY0" fmla="*/ 12230100 h 12230100"/>
            <a:gd name="connsiteX1" fmla="*/ 1562100 w 1562100"/>
            <a:gd name="connsiteY1" fmla="*/ 0 h 12230100"/>
            <a:gd name="connsiteX2" fmla="*/ 0 w 1562100"/>
            <a:gd name="connsiteY2" fmla="*/ 0 h 12230100"/>
            <a:gd name="connsiteX3" fmla="*/ 0 w 1562100"/>
            <a:gd name="connsiteY3" fmla="*/ 3352800 h 12230100"/>
            <a:gd name="connsiteX4" fmla="*/ 114300 w 1562100"/>
            <a:gd name="connsiteY4" fmla="*/ 5105400 h 12230100"/>
            <a:gd name="connsiteX5" fmla="*/ 304800 w 1562100"/>
            <a:gd name="connsiteY5" fmla="*/ 7772400 h 12230100"/>
            <a:gd name="connsiteX6" fmla="*/ 723900 w 1562100"/>
            <a:gd name="connsiteY6" fmla="*/ 10706100 h 12230100"/>
            <a:gd name="connsiteX7" fmla="*/ 1104900 w 1562100"/>
            <a:gd name="connsiteY7" fmla="*/ 12230100 h 12230100"/>
            <a:gd name="connsiteX8" fmla="*/ 1485900 w 1562100"/>
            <a:gd name="connsiteY8" fmla="*/ 12230100 h 12230100"/>
            <a:gd name="connsiteX9" fmla="*/ 1562100 w 1562100"/>
            <a:gd name="connsiteY9" fmla="*/ 12230100 h 12230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562100" h="12230100">
              <a:moveTo>
                <a:pt x="1562100" y="12230100"/>
              </a:moveTo>
              <a:lnTo>
                <a:pt x="1562100" y="0"/>
              </a:lnTo>
              <a:lnTo>
                <a:pt x="0" y="0"/>
              </a:lnTo>
              <a:lnTo>
                <a:pt x="0" y="3352800"/>
              </a:lnTo>
              <a:lnTo>
                <a:pt x="114300" y="5105400"/>
              </a:lnTo>
              <a:lnTo>
                <a:pt x="304800" y="7772400"/>
              </a:lnTo>
              <a:lnTo>
                <a:pt x="723900" y="10706100"/>
              </a:lnTo>
              <a:lnTo>
                <a:pt x="1104900" y="12230100"/>
              </a:lnTo>
              <a:lnTo>
                <a:pt x="1485900" y="12230100"/>
              </a:lnTo>
              <a:lnTo>
                <a:pt x="1562100" y="12230100"/>
              </a:lnTo>
              <a:close/>
            </a:path>
          </a:pathLst>
        </a:custGeom>
        <a:solidFill>
          <a:schemeClr val="tx2">
            <a:lumMod val="60000"/>
            <a:lumOff val="40000"/>
            <a:alpha val="29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571499</xdr:colOff>
      <xdr:row>31</xdr:row>
      <xdr:rowOff>54429</xdr:rowOff>
    </xdr:from>
    <xdr:to>
      <xdr:col>10</xdr:col>
      <xdr:colOff>734786</xdr:colOff>
      <xdr:row>34</xdr:row>
      <xdr:rowOff>244928</xdr:rowOff>
    </xdr:to>
    <xdr:sp macro="" textlink="">
      <xdr:nvSpPr>
        <xdr:cNvPr id="125" name="TextBox 124"/>
        <xdr:cNvSpPr txBox="1"/>
      </xdr:nvSpPr>
      <xdr:spPr>
        <a:xfrm>
          <a:off x="9089570" y="9402536"/>
          <a:ext cx="1251859" cy="108857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ดูประเภท</a:t>
          </a:r>
          <a:r>
            <a:rPr lang="th-TH" sz="1100" baseline="0"/>
            <a:t> ด้านนี้</a:t>
          </a:r>
        </a:p>
        <a:p>
          <a:r>
            <a:rPr lang="th-TH" sz="1100" baseline="0"/>
            <a:t>ในการเลือกใช้</a:t>
          </a:r>
        </a:p>
        <a:p>
          <a:r>
            <a:rPr lang="th-TH" sz="1100" baseline="0"/>
            <a:t>โปรแกรมไม่แจ้งผลส่วนนี้แบบอัตโนมัติ</a:t>
          </a:r>
          <a:endParaRPr lang="th-TH" sz="1100"/>
        </a:p>
      </xdr:txBody>
    </xdr:sp>
    <xdr:clientData/>
  </xdr:twoCellAnchor>
  <xdr:twoCellAnchor>
    <xdr:from>
      <xdr:col>8</xdr:col>
      <xdr:colOff>835880</xdr:colOff>
      <xdr:row>29</xdr:row>
      <xdr:rowOff>224727</xdr:rowOff>
    </xdr:from>
    <xdr:to>
      <xdr:col>9</xdr:col>
      <xdr:colOff>546587</xdr:colOff>
      <xdr:row>31</xdr:row>
      <xdr:rowOff>16578</xdr:rowOff>
    </xdr:to>
    <xdr:sp macro="" textlink="">
      <xdr:nvSpPr>
        <xdr:cNvPr id="128" name="ลูกศรลง 127"/>
        <xdr:cNvSpPr/>
      </xdr:nvSpPr>
      <xdr:spPr>
        <a:xfrm rot="7655446">
          <a:off x="8592201" y="8892228"/>
          <a:ext cx="390565" cy="554349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263340</xdr:colOff>
      <xdr:row>0</xdr:row>
      <xdr:rowOff>27214</xdr:rowOff>
    </xdr:from>
    <xdr:to>
      <xdr:col>16</xdr:col>
      <xdr:colOff>156005</xdr:colOff>
      <xdr:row>7</xdr:row>
      <xdr:rowOff>185777</xdr:rowOff>
    </xdr:to>
    <xdr:pic>
      <xdr:nvPicPr>
        <xdr:cNvPr id="3" name="รูปภาพ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883" t="16926" r="23572" b="23406"/>
        <a:stretch/>
      </xdr:blipFill>
      <xdr:spPr>
        <a:xfrm>
          <a:off x="7230197" y="27214"/>
          <a:ext cx="3337752" cy="2218764"/>
        </a:xfrm>
        <a:prstGeom prst="rect">
          <a:avLst/>
        </a:prstGeom>
      </xdr:spPr>
    </xdr:pic>
    <xdr:clientData/>
  </xdr:twoCellAnchor>
  <xdr:twoCellAnchor>
    <xdr:from>
      <xdr:col>1</xdr:col>
      <xdr:colOff>401811</xdr:colOff>
      <xdr:row>36</xdr:row>
      <xdr:rowOff>63085</xdr:rowOff>
    </xdr:from>
    <xdr:to>
      <xdr:col>2</xdr:col>
      <xdr:colOff>627530</xdr:colOff>
      <xdr:row>37</xdr:row>
      <xdr:rowOff>91249</xdr:rowOff>
    </xdr:to>
    <xdr:pic>
      <xdr:nvPicPr>
        <xdr:cNvPr id="7" name="รูปภาพ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82" y="10181997"/>
          <a:ext cx="1122189" cy="319517"/>
        </a:xfrm>
        <a:prstGeom prst="rect">
          <a:avLst/>
        </a:prstGeom>
        <a:solidFill>
          <a:sysClr val="window" lastClr="FFFFFF"/>
        </a:solidFill>
        <a:ln>
          <a:noFill/>
        </a:ln>
      </xdr:spPr>
    </xdr:pic>
    <xdr:clientData/>
  </xdr:twoCellAnchor>
  <xdr:twoCellAnchor>
    <xdr:from>
      <xdr:col>3</xdr:col>
      <xdr:colOff>428224</xdr:colOff>
      <xdr:row>36</xdr:row>
      <xdr:rowOff>21837</xdr:rowOff>
    </xdr:from>
    <xdr:to>
      <xdr:col>3</xdr:col>
      <xdr:colOff>728383</xdr:colOff>
      <xdr:row>37</xdr:row>
      <xdr:rowOff>159283</xdr:rowOff>
    </xdr:to>
    <xdr:pic>
      <xdr:nvPicPr>
        <xdr:cNvPr id="11" name="รูปภาพ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5930" y="10140749"/>
          <a:ext cx="300159" cy="428799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4</xdr:col>
      <xdr:colOff>351384</xdr:colOff>
      <xdr:row>36</xdr:row>
      <xdr:rowOff>25383</xdr:rowOff>
    </xdr:from>
    <xdr:to>
      <xdr:col>4</xdr:col>
      <xdr:colOff>1020536</xdr:colOff>
      <xdr:row>37</xdr:row>
      <xdr:rowOff>173315</xdr:rowOff>
    </xdr:to>
    <xdr:pic>
      <xdr:nvPicPr>
        <xdr:cNvPr id="13" name="รูปภาพ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48" y="9904169"/>
          <a:ext cx="669152" cy="447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734786</xdr:colOff>
      <xdr:row>35</xdr:row>
      <xdr:rowOff>54428</xdr:rowOff>
    </xdr:from>
    <xdr:to>
      <xdr:col>9</xdr:col>
      <xdr:colOff>734786</xdr:colOff>
      <xdr:row>39</xdr:row>
      <xdr:rowOff>123264</xdr:rowOff>
    </xdr:to>
    <xdr:cxnSp macro="">
      <xdr:nvCxnSpPr>
        <xdr:cNvPr id="18" name="ลูกศรเชื่อมต่อแบบตรง 17"/>
        <xdr:cNvCxnSpPr/>
      </xdr:nvCxnSpPr>
      <xdr:spPr>
        <a:xfrm>
          <a:off x="9396933" y="10005252"/>
          <a:ext cx="0" cy="121183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479933</xdr:colOff>
      <xdr:row>34</xdr:row>
      <xdr:rowOff>79507</xdr:rowOff>
    </xdr:from>
    <xdr:to>
      <xdr:col>10</xdr:col>
      <xdr:colOff>671707</xdr:colOff>
      <xdr:row>35</xdr:row>
      <xdr:rowOff>155184</xdr:rowOff>
    </xdr:to>
    <xdr:sp macro="" textlink="">
      <xdr:nvSpPr>
        <xdr:cNvPr id="19" name="TextBox 18"/>
        <xdr:cNvSpPr txBox="1"/>
      </xdr:nvSpPr>
      <xdr:spPr>
        <a:xfrm>
          <a:off x="8245609" y="9738978"/>
          <a:ext cx="2152804" cy="35582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ชั้นบนที่สุดต้องเป็น </a:t>
          </a:r>
          <a:r>
            <a:rPr lang="en-US" sz="1100"/>
            <a:t>0</a:t>
          </a:r>
          <a:r>
            <a:rPr lang="en-US" sz="1100" baseline="0"/>
            <a:t> </a:t>
          </a:r>
          <a:r>
            <a:rPr lang="th-TH" sz="1100" baseline="0"/>
            <a:t>เสมอ</a:t>
          </a:r>
        </a:p>
        <a:p>
          <a:endParaRPr lang="th-TH" sz="1100"/>
        </a:p>
      </xdr:txBody>
    </xdr:sp>
    <xdr:clientData/>
  </xdr:twoCellAnchor>
  <xdr:twoCellAnchor>
    <xdr:from>
      <xdr:col>8</xdr:col>
      <xdr:colOff>471108</xdr:colOff>
      <xdr:row>35</xdr:row>
      <xdr:rowOff>242524</xdr:rowOff>
    </xdr:from>
    <xdr:to>
      <xdr:col>10</xdr:col>
      <xdr:colOff>950954</xdr:colOff>
      <xdr:row>37</xdr:row>
      <xdr:rowOff>40504</xdr:rowOff>
    </xdr:to>
    <xdr:sp macro="" textlink="">
      <xdr:nvSpPr>
        <xdr:cNvPr id="20" name="TextBox 19"/>
        <xdr:cNvSpPr txBox="1"/>
      </xdr:nvSpPr>
      <xdr:spPr>
        <a:xfrm>
          <a:off x="8240787" y="9849167"/>
          <a:ext cx="2439274" cy="36948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VX*(h </a:t>
          </a:r>
          <a:r>
            <a:rPr lang="th-TH" sz="1100" baseline="0"/>
            <a:t>ความสูงระหว่างชั้น)</a:t>
          </a:r>
          <a:r>
            <a:rPr lang="en-US" sz="1100" baseline="0"/>
            <a:t>+Mx</a:t>
          </a:r>
          <a:r>
            <a:rPr lang="th-TH" sz="1100" baseline="0"/>
            <a:t>ด้านบน</a:t>
          </a:r>
        </a:p>
        <a:p>
          <a:endParaRPr lang="th-TH" sz="1100" baseline="0"/>
        </a:p>
        <a:p>
          <a:endParaRPr lang="th-TH" sz="1100"/>
        </a:p>
      </xdr:txBody>
    </xdr:sp>
    <xdr:clientData/>
  </xdr:twoCellAnchor>
  <xdr:twoCellAnchor>
    <xdr:from>
      <xdr:col>9</xdr:col>
      <xdr:colOff>108857</xdr:colOff>
      <xdr:row>37</xdr:row>
      <xdr:rowOff>54428</xdr:rowOff>
    </xdr:from>
    <xdr:to>
      <xdr:col>9</xdr:col>
      <xdr:colOff>108857</xdr:colOff>
      <xdr:row>39</xdr:row>
      <xdr:rowOff>235323</xdr:rowOff>
    </xdr:to>
    <xdr:cxnSp macro="">
      <xdr:nvCxnSpPr>
        <xdr:cNvPr id="21" name="ลูกศรเชื่อมต่อแบบตรง 20"/>
        <xdr:cNvCxnSpPr/>
      </xdr:nvCxnSpPr>
      <xdr:spPr>
        <a:xfrm>
          <a:off x="8771004" y="10576752"/>
          <a:ext cx="0" cy="75239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649941</xdr:colOff>
      <xdr:row>6</xdr:row>
      <xdr:rowOff>44824</xdr:rowOff>
    </xdr:from>
    <xdr:to>
      <xdr:col>5</xdr:col>
      <xdr:colOff>935691</xdr:colOff>
      <xdr:row>6</xdr:row>
      <xdr:rowOff>273424</xdr:rowOff>
    </xdr:to>
    <xdr:pic>
      <xdr:nvPicPr>
        <xdr:cNvPr id="24" name="รูปภาพ 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647" y="1479177"/>
          <a:ext cx="28575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633410</xdr:colOff>
      <xdr:row>88</xdr:row>
      <xdr:rowOff>256878</xdr:rowOff>
    </xdr:from>
    <xdr:to>
      <xdr:col>2</xdr:col>
      <xdr:colOff>95251</xdr:colOff>
      <xdr:row>90</xdr:row>
      <xdr:rowOff>66675</xdr:rowOff>
    </xdr:to>
    <xdr:pic>
      <xdr:nvPicPr>
        <xdr:cNvPr id="31" name="รูปภาพ 3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0" y="17325678"/>
          <a:ext cx="357191" cy="362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159283</xdr:colOff>
      <xdr:row>28</xdr:row>
      <xdr:rowOff>52028</xdr:rowOff>
    </xdr:from>
    <xdr:to>
      <xdr:col>10</xdr:col>
      <xdr:colOff>565896</xdr:colOff>
      <xdr:row>30</xdr:row>
      <xdr:rowOff>220116</xdr:rowOff>
    </xdr:to>
    <xdr:sp macro="" textlink="">
      <xdr:nvSpPr>
        <xdr:cNvPr id="16" name="TextBox 15"/>
        <xdr:cNvSpPr txBox="1"/>
      </xdr:nvSpPr>
      <xdr:spPr>
        <a:xfrm>
          <a:off x="7928962" y="7753671"/>
          <a:ext cx="2366041" cy="7123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/>
            <a:t>กรอกค่า</a:t>
          </a:r>
          <a:r>
            <a:rPr lang="th-TH" sz="1100" baseline="0"/>
            <a:t> </a:t>
          </a:r>
          <a:r>
            <a:rPr lang="en-US" sz="1100" baseline="0"/>
            <a:t>1 </a:t>
          </a:r>
          <a:r>
            <a:rPr lang="th-TH" sz="1100" baseline="0"/>
            <a:t>เมือมีชั้นของอาคารในช่อง</a:t>
          </a:r>
        </a:p>
        <a:p>
          <a:endParaRPr lang="th-TH" sz="1100" baseline="0"/>
        </a:p>
        <a:p>
          <a:r>
            <a:rPr lang="th-TH" sz="1100" baseline="0"/>
            <a:t>กรอกค่า </a:t>
          </a:r>
          <a:r>
            <a:rPr lang="en-US" sz="1100" baseline="0"/>
            <a:t>0 </a:t>
          </a:r>
          <a:r>
            <a:rPr lang="th-TH" sz="1100" baseline="0"/>
            <a:t>เมื่อไม่มีชั้นจำนวนในช่อง</a:t>
          </a:r>
          <a:endParaRPr lang="th-TH" sz="1100"/>
        </a:p>
      </xdr:txBody>
    </xdr:sp>
    <xdr:clientData/>
  </xdr:twoCellAnchor>
  <xdr:twoCellAnchor>
    <xdr:from>
      <xdr:col>8</xdr:col>
      <xdr:colOff>384669</xdr:colOff>
      <xdr:row>30</xdr:row>
      <xdr:rowOff>231321</xdr:rowOff>
    </xdr:from>
    <xdr:to>
      <xdr:col>8</xdr:col>
      <xdr:colOff>394607</xdr:colOff>
      <xdr:row>38</xdr:row>
      <xdr:rowOff>201706</xdr:rowOff>
    </xdr:to>
    <xdr:cxnSp macro="">
      <xdr:nvCxnSpPr>
        <xdr:cNvPr id="17" name="ลูกศรเชื่อมต่อแบบตรง 16"/>
        <xdr:cNvCxnSpPr/>
      </xdr:nvCxnSpPr>
      <xdr:spPr>
        <a:xfrm flipH="1">
          <a:off x="8150345" y="8680556"/>
          <a:ext cx="9938" cy="23460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258537</xdr:colOff>
      <xdr:row>25</xdr:row>
      <xdr:rowOff>244930</xdr:rowOff>
    </xdr:from>
    <xdr:to>
      <xdr:col>3</xdr:col>
      <xdr:colOff>620225</xdr:colOff>
      <xdr:row>27</xdr:row>
      <xdr:rowOff>1362</xdr:rowOff>
    </xdr:to>
    <xdr:pic>
      <xdr:nvPicPr>
        <xdr:cNvPr id="43" name="รูปภาพ 4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644" y="7130144"/>
          <a:ext cx="361688" cy="300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816429</xdr:colOff>
      <xdr:row>195</xdr:row>
      <xdr:rowOff>13607</xdr:rowOff>
    </xdr:from>
    <xdr:to>
      <xdr:col>3</xdr:col>
      <xdr:colOff>326573</xdr:colOff>
      <xdr:row>196</xdr:row>
      <xdr:rowOff>27214</xdr:rowOff>
    </xdr:to>
    <xdr:sp macro="" textlink="">
      <xdr:nvSpPr>
        <xdr:cNvPr id="71" name="สี่เหลี่ยมผืนผ้า 70"/>
        <xdr:cNvSpPr/>
      </xdr:nvSpPr>
      <xdr:spPr>
        <a:xfrm>
          <a:off x="2231572" y="30602464"/>
          <a:ext cx="585108" cy="312964"/>
        </a:xfrm>
        <a:prstGeom prst="rect">
          <a:avLst/>
        </a:prstGeom>
        <a:pattFill prst="wdUpDiag">
          <a:fgClr>
            <a:schemeClr val="tx1"/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5</xdr:col>
      <xdr:colOff>710294</xdr:colOff>
      <xdr:row>195</xdr:row>
      <xdr:rowOff>16328</xdr:rowOff>
    </xdr:from>
    <xdr:to>
      <xdr:col>6</xdr:col>
      <xdr:colOff>410937</xdr:colOff>
      <xdr:row>196</xdr:row>
      <xdr:rowOff>29935</xdr:rowOff>
    </xdr:to>
    <xdr:sp macro="" textlink="">
      <xdr:nvSpPr>
        <xdr:cNvPr id="72" name="สี่เหลี่ยมผืนผ้า 71"/>
        <xdr:cNvSpPr/>
      </xdr:nvSpPr>
      <xdr:spPr>
        <a:xfrm>
          <a:off x="5486401" y="30605185"/>
          <a:ext cx="762000" cy="312964"/>
        </a:xfrm>
        <a:prstGeom prst="rect">
          <a:avLst/>
        </a:prstGeom>
        <a:pattFill prst="wdUpDiag">
          <a:fgClr>
            <a:schemeClr val="tx1"/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1211036</xdr:colOff>
      <xdr:row>196</xdr:row>
      <xdr:rowOff>190500</xdr:rowOff>
    </xdr:from>
    <xdr:to>
      <xdr:col>6</xdr:col>
      <xdr:colOff>40822</xdr:colOff>
      <xdr:row>196</xdr:row>
      <xdr:rowOff>190500</xdr:rowOff>
    </xdr:to>
    <xdr:cxnSp macro="">
      <xdr:nvCxnSpPr>
        <xdr:cNvPr id="73" name="ลูกศรเชื่อมต่อแบบตรง 72"/>
        <xdr:cNvCxnSpPr/>
      </xdr:nvCxnSpPr>
      <xdr:spPr>
        <a:xfrm>
          <a:off x="4762500" y="31078714"/>
          <a:ext cx="1115786" cy="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14967</xdr:colOff>
      <xdr:row>196</xdr:row>
      <xdr:rowOff>163286</xdr:rowOff>
    </xdr:from>
    <xdr:to>
      <xdr:col>4</xdr:col>
      <xdr:colOff>27214</xdr:colOff>
      <xdr:row>196</xdr:row>
      <xdr:rowOff>163287</xdr:rowOff>
    </xdr:to>
    <xdr:cxnSp macro="">
      <xdr:nvCxnSpPr>
        <xdr:cNvPr id="75" name="ลูกศรเชื่อมต่อแบบตรง 74"/>
        <xdr:cNvCxnSpPr/>
      </xdr:nvCxnSpPr>
      <xdr:spPr>
        <a:xfrm flipH="1">
          <a:off x="2505074" y="31051500"/>
          <a:ext cx="1073604" cy="1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508588</xdr:colOff>
      <xdr:row>194</xdr:row>
      <xdr:rowOff>170809</xdr:rowOff>
    </xdr:from>
    <xdr:to>
      <xdr:col>7</xdr:col>
      <xdr:colOff>2401</xdr:colOff>
      <xdr:row>194</xdr:row>
      <xdr:rowOff>170809</xdr:rowOff>
    </xdr:to>
    <xdr:cxnSp macro="">
      <xdr:nvCxnSpPr>
        <xdr:cNvPr id="78" name="ลูกศรเชื่อมต่อแบบตรง 77"/>
        <xdr:cNvCxnSpPr/>
      </xdr:nvCxnSpPr>
      <xdr:spPr>
        <a:xfrm flipH="1">
          <a:off x="5282294" y="30695633"/>
          <a:ext cx="1533283" cy="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537223</xdr:colOff>
      <xdr:row>194</xdr:row>
      <xdr:rowOff>161016</xdr:rowOff>
    </xdr:from>
    <xdr:to>
      <xdr:col>3</xdr:col>
      <xdr:colOff>232489</xdr:colOff>
      <xdr:row>195</xdr:row>
      <xdr:rowOff>284734</xdr:rowOff>
    </xdr:to>
    <xdr:sp macro="" textlink="">
      <xdr:nvSpPr>
        <xdr:cNvPr id="83" name="ลูกศรโค้งลง 82"/>
        <xdr:cNvSpPr/>
      </xdr:nvSpPr>
      <xdr:spPr>
        <a:xfrm>
          <a:off x="1957314" y="51803834"/>
          <a:ext cx="768993" cy="418127"/>
        </a:xfrm>
        <a:prstGeom prst="curved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th-TH"/>
        </a:p>
      </xdr:txBody>
    </xdr:sp>
    <xdr:clientData/>
  </xdr:twoCellAnchor>
  <xdr:twoCellAnchor>
    <xdr:from>
      <xdr:col>5</xdr:col>
      <xdr:colOff>447869</xdr:colOff>
      <xdr:row>134</xdr:row>
      <xdr:rowOff>26832</xdr:rowOff>
    </xdr:from>
    <xdr:to>
      <xdr:col>10</xdr:col>
      <xdr:colOff>877115</xdr:colOff>
      <xdr:row>140</xdr:row>
      <xdr:rowOff>75384</xdr:rowOff>
    </xdr:to>
    <xdr:sp macro="" textlink="">
      <xdr:nvSpPr>
        <xdr:cNvPr id="110" name="TextBox 109"/>
        <xdr:cNvSpPr txBox="1"/>
      </xdr:nvSpPr>
      <xdr:spPr>
        <a:xfrm>
          <a:off x="5221575" y="34832303"/>
          <a:ext cx="5382246" cy="172943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รายการคำนวณนี้ใช้สำหรับอาคารที่มีรูปทรงเสถียรภาพ</a:t>
          </a:r>
        </a:p>
        <a:p>
          <a:r>
            <a:rPr lang="th-TH" sz="1800"/>
            <a:t>อาทิ </a:t>
          </a:r>
          <a:r>
            <a:rPr lang="en-US" sz="1800"/>
            <a:t>4</a:t>
          </a:r>
          <a:r>
            <a:rPr lang="en-US" sz="1800" baseline="0"/>
            <a:t> </a:t>
          </a:r>
          <a:r>
            <a:rPr lang="th-TH" sz="1800" baseline="0"/>
            <a:t>เหลี่ยมจุตรัส</a:t>
          </a:r>
          <a:r>
            <a:rPr lang="en-US" sz="1800" baseline="0"/>
            <a:t>, 4 </a:t>
          </a:r>
          <a:r>
            <a:rPr lang="th-TH" sz="1800" baseline="0"/>
            <a:t>เหลี่ยมผืนผ้า </a:t>
          </a:r>
          <a:r>
            <a:rPr lang="en-US" sz="1800" baseline="0"/>
            <a:t>,</a:t>
          </a:r>
          <a:r>
            <a:rPr lang="th-TH" sz="1800" baseline="0"/>
            <a:t>ทรงกลม </a:t>
          </a:r>
          <a:r>
            <a:rPr lang="en-US" sz="1800" baseline="0"/>
            <a:t>6-12</a:t>
          </a:r>
          <a:r>
            <a:rPr lang="th-TH" sz="1800" baseline="0"/>
            <a:t>เหลี่ยมเท่านั้นจึงไม่คิดการบิดตัวของอาคารหากเป็นรูปทรง ตัว </a:t>
          </a:r>
          <a:r>
            <a:rPr lang="en-US" sz="1800" baseline="0"/>
            <a:t>L, U </a:t>
          </a:r>
          <a:r>
            <a:rPr lang="th-TH" sz="1800" baseline="0"/>
            <a:t>หรืออื่นๆตามที่กล่าวมาข้างต้นจะต้องใช้</a:t>
          </a:r>
        </a:p>
        <a:p>
          <a:r>
            <a:rPr lang="th-TH" sz="1800" baseline="0"/>
            <a:t>วิธีพลศาสตร์ในการออกแบบ</a:t>
          </a:r>
        </a:p>
        <a:p>
          <a:endParaRPr lang="th-TH" sz="1800"/>
        </a:p>
      </xdr:txBody>
    </xdr:sp>
    <xdr:clientData/>
  </xdr:twoCellAnchor>
  <xdr:twoCellAnchor>
    <xdr:from>
      <xdr:col>2</xdr:col>
      <xdr:colOff>498532</xdr:colOff>
      <xdr:row>199</xdr:row>
      <xdr:rowOff>13462</xdr:rowOff>
    </xdr:from>
    <xdr:to>
      <xdr:col>7</xdr:col>
      <xdr:colOff>592236</xdr:colOff>
      <xdr:row>200</xdr:row>
      <xdr:rowOff>226229</xdr:rowOff>
    </xdr:to>
    <xdr:sp macro="" textlink="">
      <xdr:nvSpPr>
        <xdr:cNvPr id="114" name="TextBox 113"/>
        <xdr:cNvSpPr txBox="1"/>
      </xdr:nvSpPr>
      <xdr:spPr>
        <a:xfrm>
          <a:off x="1918623" y="53162962"/>
          <a:ext cx="5496977" cy="507176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แรงแผ่นดินไหวในประเทศไทยจะมีค่าไม่เกิน</a:t>
          </a:r>
          <a:r>
            <a:rPr lang="en-US" sz="1800"/>
            <a:t> 6.0 </a:t>
          </a:r>
          <a:r>
            <a:rPr lang="th-TH" sz="1800"/>
            <a:t>ริคเตอร์</a:t>
          </a:r>
          <a:endParaRPr lang="th-TH" sz="1800" baseline="0"/>
        </a:p>
        <a:p>
          <a:endParaRPr lang="th-TH" sz="1800"/>
        </a:p>
      </xdr:txBody>
    </xdr:sp>
    <xdr:clientData/>
  </xdr:twoCellAnchor>
  <xdr:twoCellAnchor editAs="oneCell">
    <xdr:from>
      <xdr:col>0</xdr:col>
      <xdr:colOff>481293</xdr:colOff>
      <xdr:row>134</xdr:row>
      <xdr:rowOff>33837</xdr:rowOff>
    </xdr:from>
    <xdr:to>
      <xdr:col>5</xdr:col>
      <xdr:colOff>214821</xdr:colOff>
      <xdr:row>145</xdr:row>
      <xdr:rowOff>238105</xdr:rowOff>
    </xdr:to>
    <xdr:pic>
      <xdr:nvPicPr>
        <xdr:cNvPr id="115" name="รูปภาพ 1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1293" y="34652882"/>
          <a:ext cx="4625405" cy="325226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167</xdr:row>
      <xdr:rowOff>167016</xdr:rowOff>
    </xdr:from>
    <xdr:to>
      <xdr:col>10</xdr:col>
      <xdr:colOff>839779</xdr:colOff>
      <xdr:row>187</xdr:row>
      <xdr:rowOff>121227</xdr:rowOff>
    </xdr:to>
    <xdr:pic>
      <xdr:nvPicPr>
        <xdr:cNvPr id="116" name="รูปภาพ 11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028" t="16926" r="23572" b="23406"/>
        <a:stretch/>
      </xdr:blipFill>
      <xdr:spPr>
        <a:xfrm>
          <a:off x="6026727" y="43930061"/>
          <a:ext cx="4563188" cy="5755802"/>
        </a:xfrm>
        <a:prstGeom prst="rect">
          <a:avLst/>
        </a:prstGeom>
      </xdr:spPr>
    </xdr:pic>
    <xdr:clientData/>
  </xdr:twoCellAnchor>
  <xdr:twoCellAnchor>
    <xdr:from>
      <xdr:col>4</xdr:col>
      <xdr:colOff>63232</xdr:colOff>
      <xdr:row>152</xdr:row>
      <xdr:rowOff>8805</xdr:rowOff>
    </xdr:from>
    <xdr:to>
      <xdr:col>5</xdr:col>
      <xdr:colOff>4002</xdr:colOff>
      <xdr:row>152</xdr:row>
      <xdr:rowOff>8805</xdr:rowOff>
    </xdr:to>
    <xdr:cxnSp macro="">
      <xdr:nvCxnSpPr>
        <xdr:cNvPr id="117" name="ลูกศรเชื่อมต่อแบบตรง 116"/>
        <xdr:cNvCxnSpPr/>
      </xdr:nvCxnSpPr>
      <xdr:spPr>
        <a:xfrm>
          <a:off x="3614696" y="38816376"/>
          <a:ext cx="1165413" cy="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704851</xdr:colOff>
      <xdr:row>189</xdr:row>
      <xdr:rowOff>171450</xdr:rowOff>
    </xdr:from>
    <xdr:to>
      <xdr:col>10</xdr:col>
      <xdr:colOff>561976</xdr:colOff>
      <xdr:row>191</xdr:row>
      <xdr:rowOff>89808</xdr:rowOff>
    </xdr:to>
    <xdr:sp macro="" textlink="">
      <xdr:nvSpPr>
        <xdr:cNvPr id="301" name="TextBox 300"/>
        <xdr:cNvSpPr txBox="1"/>
      </xdr:nvSpPr>
      <xdr:spPr>
        <a:xfrm>
          <a:off x="6534151" y="50292000"/>
          <a:ext cx="3752850" cy="50890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รูปไม่ได้มาตราส่วนให้ดูที่ตัวเลขเท่านั้น</a:t>
          </a:r>
          <a:endParaRPr lang="th-TH" sz="1800" baseline="0"/>
        </a:p>
        <a:p>
          <a:endParaRPr lang="th-TH" sz="1800"/>
        </a:p>
      </xdr:txBody>
    </xdr:sp>
    <xdr:clientData/>
  </xdr:twoCellAnchor>
  <xdr:twoCellAnchor>
    <xdr:from>
      <xdr:col>5</xdr:col>
      <xdr:colOff>459441</xdr:colOff>
      <xdr:row>140</xdr:row>
      <xdr:rowOff>134471</xdr:rowOff>
    </xdr:from>
    <xdr:to>
      <xdr:col>10</xdr:col>
      <xdr:colOff>888687</xdr:colOff>
      <xdr:row>145</xdr:row>
      <xdr:rowOff>235324</xdr:rowOff>
    </xdr:to>
    <xdr:sp macro="" textlink="">
      <xdr:nvSpPr>
        <xdr:cNvPr id="302" name="TextBox 301"/>
        <xdr:cNvSpPr txBox="1"/>
      </xdr:nvSpPr>
      <xdr:spPr>
        <a:xfrm>
          <a:off x="5233147" y="36620824"/>
          <a:ext cx="5382246" cy="150158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/>
            <a:t>แผ่นดินไหวที่รุนแรงที่สุดในประวัติศาสตร์</a:t>
          </a:r>
          <a:r>
            <a:rPr lang="th-TH" sz="1800" baseline="0"/>
            <a:t> คื อ </a:t>
          </a:r>
          <a:r>
            <a:rPr lang="en-US" sz="1800" baseline="0"/>
            <a:t>9.5 </a:t>
          </a:r>
          <a:endParaRPr lang="th-TH" sz="1800" baseline="0"/>
        </a:p>
        <a:p>
          <a:r>
            <a:rPr lang="th-TH" sz="1800" baseline="0"/>
            <a:t>ริคเตอร์ เกิดที่</a:t>
          </a:r>
          <a:r>
            <a:rPr lang="th-TH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ชิลีตอนใต้ (</a:t>
          </a:r>
          <a:r>
            <a:rPr lang="en-US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Southern Chile) : 22 </a:t>
          </a:r>
          <a:r>
            <a:rPr lang="th-TH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พฤษภาคม 1960 มีผู้เสียชีวิต </a:t>
          </a:r>
          <a:r>
            <a:rPr lang="en-US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5,700 </a:t>
          </a:r>
          <a:r>
            <a:rPr lang="th-TH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คน ทรัพย์สินเสียหาย  </a:t>
          </a:r>
          <a:r>
            <a:rPr lang="en-US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675 </a:t>
          </a:r>
          <a:r>
            <a:rPr lang="th-TH" sz="1800" baseline="0">
              <a:solidFill>
                <a:schemeClr val="dk1"/>
              </a:solidFill>
              <a:latin typeface="+mn-lt"/>
              <a:ea typeface="+mn-ea"/>
              <a:cs typeface="+mn-cs"/>
            </a:rPr>
            <a:t>ล้านดอลล่าร์</a:t>
          </a:r>
        </a:p>
        <a:p>
          <a:endParaRPr lang="th-TH" sz="18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th-TH" sz="1800"/>
        </a:p>
      </xdr:txBody>
    </xdr:sp>
    <xdr:clientData/>
  </xdr:twoCellAnchor>
  <xdr:twoCellAnchor>
    <xdr:from>
      <xdr:col>2</xdr:col>
      <xdr:colOff>261257</xdr:colOff>
      <xdr:row>189</xdr:row>
      <xdr:rowOff>21771</xdr:rowOff>
    </xdr:from>
    <xdr:to>
      <xdr:col>2</xdr:col>
      <xdr:colOff>957943</xdr:colOff>
      <xdr:row>193</xdr:row>
      <xdr:rowOff>285750</xdr:rowOff>
    </xdr:to>
    <xdr:grpSp>
      <xdr:nvGrpSpPr>
        <xdr:cNvPr id="25" name="กลุ่ม 24"/>
        <xdr:cNvGrpSpPr/>
      </xdr:nvGrpSpPr>
      <xdr:grpSpPr>
        <a:xfrm>
          <a:off x="1673198" y="50425830"/>
          <a:ext cx="696686" cy="1429391"/>
          <a:chOff x="1676400" y="49796700"/>
          <a:chExt cx="696686" cy="1461407"/>
        </a:xfrm>
      </xdr:grpSpPr>
      <xdr:cxnSp macro="">
        <xdr:nvCxnSpPr>
          <xdr:cNvPr id="23" name="ลูกศรเชื่อมต่อแบบตรง 22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1" name="ลูกศรเชื่อมต่อแบบตรง 80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2" name="ลูกศรเชื่อมต่อแบบตรง 81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4" name="ลูกศรเชื่อมต่อแบบตรง 83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5" name="ลูกศรเชื่อมต่อแบบตรง 84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ลูกศรเชื่อมต่อแบบตรง 85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291192</xdr:colOff>
      <xdr:row>183</xdr:row>
      <xdr:rowOff>65314</xdr:rowOff>
    </xdr:from>
    <xdr:to>
      <xdr:col>2</xdr:col>
      <xdr:colOff>987878</xdr:colOff>
      <xdr:row>188</xdr:row>
      <xdr:rowOff>29936</xdr:rowOff>
    </xdr:to>
    <xdr:grpSp>
      <xdr:nvGrpSpPr>
        <xdr:cNvPr id="87" name="กลุ่ม 86"/>
        <xdr:cNvGrpSpPr/>
      </xdr:nvGrpSpPr>
      <xdr:grpSpPr>
        <a:xfrm>
          <a:off x="1703133" y="48721255"/>
          <a:ext cx="696686" cy="1421387"/>
          <a:chOff x="1676400" y="49796700"/>
          <a:chExt cx="696686" cy="1461407"/>
        </a:xfrm>
      </xdr:grpSpPr>
      <xdr:cxnSp macro="">
        <xdr:nvCxnSpPr>
          <xdr:cNvPr id="88" name="ลูกศรเชื่อมต่อแบบตรง 87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9" name="ลูกศรเชื่อมต่อแบบตรง 88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ลูกศรเชื่อมต่อแบบตรง 89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1" name="ลูกศรเชื่อมต่อแบบตรง 90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2" name="ลูกศรเชื่อมต่อแบบตรง 91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3" name="ลูกศรเชื่อมต่อแบบตรง 92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291194</xdr:colOff>
      <xdr:row>177</xdr:row>
      <xdr:rowOff>24492</xdr:rowOff>
    </xdr:from>
    <xdr:to>
      <xdr:col>2</xdr:col>
      <xdr:colOff>987880</xdr:colOff>
      <xdr:row>181</xdr:row>
      <xdr:rowOff>288471</xdr:rowOff>
    </xdr:to>
    <xdr:grpSp>
      <xdr:nvGrpSpPr>
        <xdr:cNvPr id="94" name="กลุ่ม 93"/>
        <xdr:cNvGrpSpPr/>
      </xdr:nvGrpSpPr>
      <xdr:grpSpPr>
        <a:xfrm>
          <a:off x="1703135" y="46932316"/>
          <a:ext cx="696686" cy="1429390"/>
          <a:chOff x="1676400" y="49796700"/>
          <a:chExt cx="696686" cy="1461407"/>
        </a:xfrm>
      </xdr:grpSpPr>
      <xdr:cxnSp macro="">
        <xdr:nvCxnSpPr>
          <xdr:cNvPr id="95" name="ลูกศรเชื่อมต่อแบบตรง 94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6" name="ลูกศรเชื่อมต่อแบบตรง 95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7" name="ลูกศรเชื่อมต่อแบบตรง 96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8" name="ลูกศรเชื่อมต่อแบบตรง 97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9" name="ลูกศรเชื่อมต่อแบบตรง 98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0" name="ลูกศรเชื่อมต่อแบบตรง 99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321129</xdr:colOff>
      <xdr:row>171</xdr:row>
      <xdr:rowOff>40821</xdr:rowOff>
    </xdr:from>
    <xdr:to>
      <xdr:col>2</xdr:col>
      <xdr:colOff>1017815</xdr:colOff>
      <xdr:row>176</xdr:row>
      <xdr:rowOff>32656</xdr:rowOff>
    </xdr:to>
    <xdr:grpSp>
      <xdr:nvGrpSpPr>
        <xdr:cNvPr id="101" name="กลุ่ม 100"/>
        <xdr:cNvGrpSpPr/>
      </xdr:nvGrpSpPr>
      <xdr:grpSpPr>
        <a:xfrm>
          <a:off x="1733070" y="45211733"/>
          <a:ext cx="696686" cy="1437394"/>
          <a:chOff x="1676400" y="49796700"/>
          <a:chExt cx="696686" cy="1461407"/>
        </a:xfrm>
      </xdr:grpSpPr>
      <xdr:cxnSp macro="">
        <xdr:nvCxnSpPr>
          <xdr:cNvPr id="102" name="ลูกศรเชื่อมต่อแบบตรง 101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3" name="ลูกศรเชื่อมต่อแบบตรง 102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4" name="ลูกศรเชื่อมต่อแบบตรง 103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5" name="ลูกศรเชื่อมต่อแบบตรง 104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6" name="ลูกศรเชื่อมต่อแบบตรง 105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7" name="ลูกศรเชื่อมต่อแบบตรง 106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293916</xdr:colOff>
      <xdr:row>164</xdr:row>
      <xdr:rowOff>176892</xdr:rowOff>
    </xdr:from>
    <xdr:to>
      <xdr:col>2</xdr:col>
      <xdr:colOff>990602</xdr:colOff>
      <xdr:row>170</xdr:row>
      <xdr:rowOff>5442</xdr:rowOff>
    </xdr:to>
    <xdr:grpSp>
      <xdr:nvGrpSpPr>
        <xdr:cNvPr id="108" name="กลุ่ม 107"/>
        <xdr:cNvGrpSpPr/>
      </xdr:nvGrpSpPr>
      <xdr:grpSpPr>
        <a:xfrm>
          <a:off x="1705857" y="43386774"/>
          <a:ext cx="696686" cy="1509433"/>
          <a:chOff x="1676400" y="49796700"/>
          <a:chExt cx="696686" cy="1461407"/>
        </a:xfrm>
      </xdr:grpSpPr>
      <xdr:cxnSp macro="">
        <xdr:nvCxnSpPr>
          <xdr:cNvPr id="109" name="ลูกศรเชื่อมต่อแบบตรง 108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1" name="ลูกศรเชื่อมต่อแบบตรง 110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2" name="ลูกศรเชื่อมต่อแบบตรง 111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3" name="ลูกศรเชื่อมต่อแบบตรง 112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8" name="ลูกศรเชื่อมต่อแบบตรง 117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9" name="ลูกศรเชื่อมต่อแบบตรง 118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323851</xdr:colOff>
      <xdr:row>158</xdr:row>
      <xdr:rowOff>57149</xdr:rowOff>
    </xdr:from>
    <xdr:to>
      <xdr:col>2</xdr:col>
      <xdr:colOff>1020537</xdr:colOff>
      <xdr:row>163</xdr:row>
      <xdr:rowOff>157842</xdr:rowOff>
    </xdr:to>
    <xdr:grpSp>
      <xdr:nvGrpSpPr>
        <xdr:cNvPr id="120" name="กลุ่ม 119"/>
        <xdr:cNvGrpSpPr/>
      </xdr:nvGrpSpPr>
      <xdr:grpSpPr>
        <a:xfrm>
          <a:off x="1735792" y="41586149"/>
          <a:ext cx="696686" cy="1501428"/>
          <a:chOff x="1676400" y="49796700"/>
          <a:chExt cx="696686" cy="1461407"/>
        </a:xfrm>
      </xdr:grpSpPr>
      <xdr:cxnSp macro="">
        <xdr:nvCxnSpPr>
          <xdr:cNvPr id="121" name="ลูกศรเชื่อมต่อแบบตรง 120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2" name="ลูกศรเชื่อมต่อแบบตรง 121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3" name="ลูกศรเชื่อมต่อแบบตรง 122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4" name="ลูกศรเชื่อมต่อแบบตรง 123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5" name="ลูกศรเชื่อมต่อแบบตรง 124"/>
          <xdr:cNvCxnSpPr/>
        </xdr:nvCxnSpPr>
        <xdr:spPr>
          <a:xfrm>
            <a:off x="1679121" y="50079729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6" name="ลูกศรเชื่อมต่อแบบตรง 125"/>
          <xdr:cNvCxnSpPr/>
        </xdr:nvCxnSpPr>
        <xdr:spPr>
          <a:xfrm>
            <a:off x="1695450" y="49796700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312966</xdr:colOff>
      <xdr:row>154</xdr:row>
      <xdr:rowOff>0</xdr:rowOff>
    </xdr:from>
    <xdr:to>
      <xdr:col>2</xdr:col>
      <xdr:colOff>1009652</xdr:colOff>
      <xdr:row>157</xdr:row>
      <xdr:rowOff>51707</xdr:rowOff>
    </xdr:to>
    <xdr:grpSp>
      <xdr:nvGrpSpPr>
        <xdr:cNvPr id="127" name="กลุ่ม 126"/>
        <xdr:cNvGrpSpPr/>
      </xdr:nvGrpSpPr>
      <xdr:grpSpPr>
        <a:xfrm>
          <a:off x="1724907" y="40408412"/>
          <a:ext cx="696686" cy="892148"/>
          <a:chOff x="1676400" y="50389972"/>
          <a:chExt cx="696686" cy="868135"/>
        </a:xfrm>
      </xdr:grpSpPr>
      <xdr:cxnSp macro="">
        <xdr:nvCxnSpPr>
          <xdr:cNvPr id="128" name="ลูกศรเชื่อมต่อแบบตรง 127"/>
          <xdr:cNvCxnSpPr/>
        </xdr:nvCxnSpPr>
        <xdr:spPr>
          <a:xfrm>
            <a:off x="1687286" y="51258107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9" name="ลูกศรเชื่อมต่อแบบตรง 128"/>
          <xdr:cNvCxnSpPr/>
        </xdr:nvCxnSpPr>
        <xdr:spPr>
          <a:xfrm>
            <a:off x="1690007" y="50947864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0" name="ลูกศรเชื่อมต่อแบบตรง 129"/>
          <xdr:cNvCxnSpPr/>
        </xdr:nvCxnSpPr>
        <xdr:spPr>
          <a:xfrm>
            <a:off x="1706336" y="50664835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1" name="ลูกศรเชื่อมต่อแบบตรง 130"/>
          <xdr:cNvCxnSpPr/>
        </xdr:nvCxnSpPr>
        <xdr:spPr>
          <a:xfrm>
            <a:off x="1676400" y="50389972"/>
            <a:ext cx="6667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452438</xdr:colOff>
      <xdr:row>153</xdr:row>
      <xdr:rowOff>261937</xdr:rowOff>
    </xdr:from>
    <xdr:to>
      <xdr:col>3</xdr:col>
      <xdr:colOff>17319</xdr:colOff>
      <xdr:row>194</xdr:row>
      <xdr:rowOff>27710</xdr:rowOff>
    </xdr:to>
    <xdr:sp macro="" textlink="">
      <xdr:nvSpPr>
        <xdr:cNvPr id="76" name="รูปแบบอิสระ 75"/>
        <xdr:cNvSpPr/>
      </xdr:nvSpPr>
      <xdr:spPr>
        <a:xfrm>
          <a:off x="976313" y="40719375"/>
          <a:ext cx="1541319" cy="11505335"/>
        </a:xfrm>
        <a:custGeom>
          <a:avLst/>
          <a:gdLst>
            <a:gd name="connsiteX0" fmla="*/ 1562100 w 1562100"/>
            <a:gd name="connsiteY0" fmla="*/ 12230100 h 12230100"/>
            <a:gd name="connsiteX1" fmla="*/ 1562100 w 1562100"/>
            <a:gd name="connsiteY1" fmla="*/ 0 h 12230100"/>
            <a:gd name="connsiteX2" fmla="*/ 0 w 1562100"/>
            <a:gd name="connsiteY2" fmla="*/ 0 h 12230100"/>
            <a:gd name="connsiteX3" fmla="*/ 0 w 1562100"/>
            <a:gd name="connsiteY3" fmla="*/ 3352800 h 12230100"/>
            <a:gd name="connsiteX4" fmla="*/ 114300 w 1562100"/>
            <a:gd name="connsiteY4" fmla="*/ 5105400 h 12230100"/>
            <a:gd name="connsiteX5" fmla="*/ 304800 w 1562100"/>
            <a:gd name="connsiteY5" fmla="*/ 7772400 h 12230100"/>
            <a:gd name="connsiteX6" fmla="*/ 723900 w 1562100"/>
            <a:gd name="connsiteY6" fmla="*/ 10706100 h 12230100"/>
            <a:gd name="connsiteX7" fmla="*/ 1104900 w 1562100"/>
            <a:gd name="connsiteY7" fmla="*/ 12230100 h 12230100"/>
            <a:gd name="connsiteX8" fmla="*/ 1485900 w 1562100"/>
            <a:gd name="connsiteY8" fmla="*/ 12230100 h 12230100"/>
            <a:gd name="connsiteX9" fmla="*/ 1562100 w 1562100"/>
            <a:gd name="connsiteY9" fmla="*/ 12230100 h 12230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562100" h="12230100">
              <a:moveTo>
                <a:pt x="1562100" y="12230100"/>
              </a:moveTo>
              <a:lnTo>
                <a:pt x="1562100" y="0"/>
              </a:lnTo>
              <a:lnTo>
                <a:pt x="0" y="0"/>
              </a:lnTo>
              <a:lnTo>
                <a:pt x="0" y="3352800"/>
              </a:lnTo>
              <a:lnTo>
                <a:pt x="114300" y="5105400"/>
              </a:lnTo>
              <a:lnTo>
                <a:pt x="304800" y="7772400"/>
              </a:lnTo>
              <a:lnTo>
                <a:pt x="723900" y="10706100"/>
              </a:lnTo>
              <a:lnTo>
                <a:pt x="1104900" y="12230100"/>
              </a:lnTo>
              <a:lnTo>
                <a:pt x="1485900" y="12230100"/>
              </a:lnTo>
              <a:lnTo>
                <a:pt x="1562100" y="12230100"/>
              </a:lnTo>
              <a:close/>
            </a:path>
          </a:pathLst>
        </a:custGeom>
        <a:solidFill>
          <a:schemeClr val="tx2">
            <a:lumMod val="60000"/>
            <a:lumOff val="40000"/>
            <a:alpha val="29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649941</xdr:colOff>
      <xdr:row>5</xdr:row>
      <xdr:rowOff>44824</xdr:rowOff>
    </xdr:from>
    <xdr:to>
      <xdr:col>5</xdr:col>
      <xdr:colOff>935691</xdr:colOff>
      <xdr:row>5</xdr:row>
      <xdr:rowOff>273424</xdr:rowOff>
    </xdr:to>
    <xdr:pic>
      <xdr:nvPicPr>
        <xdr:cNvPr id="2" name="รูปภาพ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441" y="1521199"/>
          <a:ext cx="2000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14"/>
  <sheetViews>
    <sheetView workbookViewId="0">
      <selection activeCell="G7" sqref="G7"/>
    </sheetView>
  </sheetViews>
  <sheetFormatPr defaultRowHeight="23.25" x14ac:dyDescent="0.5"/>
  <sheetData>
    <row r="2" spans="3:6" x14ac:dyDescent="0.5">
      <c r="C2" t="s">
        <v>385</v>
      </c>
      <c r="E2" t="s">
        <v>386</v>
      </c>
    </row>
    <row r="3" spans="3:6" x14ac:dyDescent="0.5">
      <c r="C3" t="s">
        <v>381</v>
      </c>
      <c r="E3" t="s">
        <v>382</v>
      </c>
    </row>
    <row r="4" spans="3:6" x14ac:dyDescent="0.5">
      <c r="C4" t="s">
        <v>383</v>
      </c>
      <c r="E4" t="s">
        <v>384</v>
      </c>
    </row>
    <row r="5" spans="3:6" x14ac:dyDescent="0.5">
      <c r="C5" t="s">
        <v>387</v>
      </c>
      <c r="E5" s="2" t="s">
        <v>388</v>
      </c>
    </row>
    <row r="6" spans="3:6" x14ac:dyDescent="0.5">
      <c r="E6" t="s">
        <v>416</v>
      </c>
    </row>
    <row r="7" spans="3:6" x14ac:dyDescent="0.5">
      <c r="E7" t="s">
        <v>417</v>
      </c>
    </row>
    <row r="8" spans="3:6" x14ac:dyDescent="0.5">
      <c r="E8" t="s">
        <v>418</v>
      </c>
    </row>
    <row r="9" spans="3:6" x14ac:dyDescent="0.5">
      <c r="C9" t="s">
        <v>389</v>
      </c>
      <c r="E9" s="326">
        <v>41530</v>
      </c>
    </row>
    <row r="10" spans="3:6" x14ac:dyDescent="0.5">
      <c r="C10" t="s">
        <v>390</v>
      </c>
      <c r="E10" s="326">
        <v>41532</v>
      </c>
      <c r="F10" t="s">
        <v>391</v>
      </c>
    </row>
    <row r="11" spans="3:6" x14ac:dyDescent="0.5">
      <c r="C11" t="s">
        <v>392</v>
      </c>
      <c r="E11" t="s">
        <v>393</v>
      </c>
    </row>
    <row r="12" spans="3:6" x14ac:dyDescent="0.5">
      <c r="E12" t="s">
        <v>394</v>
      </c>
    </row>
    <row r="14" spans="3:6" x14ac:dyDescent="0.5">
      <c r="C14" t="s">
        <v>395</v>
      </c>
      <c r="E14" t="s">
        <v>396</v>
      </c>
    </row>
  </sheetData>
  <sheetProtection password="CC3D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342"/>
  <sheetViews>
    <sheetView tabSelected="1" view="pageBreakPreview" topLeftCell="A10" zoomScale="70" zoomScaleNormal="100" zoomScaleSheetLayoutView="70" zoomScalePageLayoutView="70" workbookViewId="0">
      <selection activeCell="L24" sqref="L24"/>
    </sheetView>
  </sheetViews>
  <sheetFormatPr defaultRowHeight="23.25" x14ac:dyDescent="0.5"/>
  <cols>
    <col min="2" max="2" width="17.42578125" customWidth="1"/>
    <col min="3" max="4" width="12.7109375" customWidth="1"/>
    <col min="5" max="5" width="14.7109375" customWidth="1"/>
    <col min="6" max="6" width="18" customWidth="1"/>
    <col min="7" max="7" width="17.85546875" customWidth="1"/>
    <col min="8" max="9" width="12.7109375" customWidth="1"/>
    <col min="10" max="10" width="16.28515625" customWidth="1"/>
    <col min="11" max="11" width="12.7109375" customWidth="1"/>
    <col min="12" max="12" width="76" customWidth="1"/>
    <col min="13" max="13" width="16.28515625" style="2" customWidth="1"/>
    <col min="14" max="14" width="18.7109375" customWidth="1"/>
    <col min="15" max="15" width="13" customWidth="1"/>
    <col min="16" max="16" width="13" bestFit="1" customWidth="1"/>
    <col min="17" max="17" width="9.140625" customWidth="1"/>
    <col min="21" max="21" width="15.7109375" customWidth="1"/>
    <col min="23" max="23" width="51.7109375" customWidth="1"/>
    <col min="24" max="24" width="17.85546875" style="2" customWidth="1"/>
    <col min="25" max="25" width="42" customWidth="1"/>
    <col min="28" max="28" width="26.42578125" customWidth="1"/>
  </cols>
  <sheetData>
    <row r="1" spans="1:13" x14ac:dyDescent="0.5">
      <c r="A1" s="447" t="s">
        <v>127</v>
      </c>
      <c r="B1" s="465" t="s">
        <v>202</v>
      </c>
      <c r="C1" s="465"/>
      <c r="D1" s="465"/>
      <c r="E1" s="465"/>
      <c r="F1" s="465"/>
      <c r="G1" s="465"/>
      <c r="H1" s="465"/>
      <c r="I1" s="465"/>
      <c r="J1" s="465"/>
      <c r="K1" s="466"/>
    </row>
    <row r="2" spans="1:13" x14ac:dyDescent="0.5">
      <c r="A2" s="448"/>
      <c r="B2" s="450" t="s">
        <v>14</v>
      </c>
      <c r="C2" s="450"/>
      <c r="D2" s="450"/>
      <c r="E2" s="450"/>
      <c r="F2" s="450"/>
      <c r="G2" s="450"/>
      <c r="H2" s="450"/>
      <c r="I2" s="450"/>
      <c r="J2" s="450"/>
      <c r="K2" s="451"/>
    </row>
    <row r="3" spans="1:13" x14ac:dyDescent="0.5">
      <c r="A3" s="448"/>
      <c r="B3" s="13" t="s">
        <v>379</v>
      </c>
      <c r="C3" s="13"/>
      <c r="D3" s="100">
        <v>40</v>
      </c>
      <c r="E3" s="13" t="s">
        <v>16</v>
      </c>
      <c r="F3" s="13" t="s">
        <v>380</v>
      </c>
      <c r="G3" s="13"/>
      <c r="H3" s="100">
        <v>80</v>
      </c>
      <c r="I3" s="13" t="s">
        <v>16</v>
      </c>
      <c r="J3" s="13" t="s">
        <v>322</v>
      </c>
      <c r="K3" s="316">
        <v>4</v>
      </c>
    </row>
    <row r="4" spans="1:13" x14ac:dyDescent="0.5">
      <c r="A4" s="448"/>
      <c r="B4" s="13" t="s">
        <v>17</v>
      </c>
      <c r="C4" s="13"/>
      <c r="D4" s="100">
        <v>63</v>
      </c>
      <c r="E4" s="13" t="s">
        <v>16</v>
      </c>
      <c r="F4" s="13" t="s">
        <v>18</v>
      </c>
      <c r="G4" s="13"/>
      <c r="H4" s="100">
        <v>3.5</v>
      </c>
      <c r="I4" s="13" t="s">
        <v>20</v>
      </c>
      <c r="J4" s="13" t="s">
        <v>323</v>
      </c>
      <c r="K4" s="316">
        <v>5</v>
      </c>
    </row>
    <row r="5" spans="1:13" x14ac:dyDescent="0.5">
      <c r="A5" s="448"/>
      <c r="B5" s="13" t="s">
        <v>21</v>
      </c>
      <c r="C5" s="13"/>
      <c r="D5" s="100">
        <v>40</v>
      </c>
      <c r="E5" s="13" t="s">
        <v>22</v>
      </c>
      <c r="F5" s="11" t="s">
        <v>97</v>
      </c>
      <c r="G5" s="11"/>
      <c r="H5" s="100">
        <v>240</v>
      </c>
      <c r="I5" s="15" t="s">
        <v>98</v>
      </c>
      <c r="J5" s="243" t="s">
        <v>324</v>
      </c>
      <c r="K5" s="317">
        <v>160</v>
      </c>
    </row>
    <row r="6" spans="1:13" ht="24" thickBot="1" x14ac:dyDescent="0.55000000000000004">
      <c r="A6" s="449"/>
      <c r="B6" s="16"/>
      <c r="C6" s="16"/>
      <c r="D6" s="17"/>
      <c r="E6" s="16"/>
      <c r="F6" s="16" t="s">
        <v>96</v>
      </c>
      <c r="G6" s="18"/>
      <c r="H6" s="16">
        <f>ROUND(15210*(H5)^0.5,2)</f>
        <v>235632.31</v>
      </c>
      <c r="I6" s="19" t="s">
        <v>98</v>
      </c>
      <c r="J6" s="244" t="s">
        <v>325</v>
      </c>
      <c r="K6" s="317">
        <v>160</v>
      </c>
    </row>
    <row r="7" spans="1:13" ht="24" thickBot="1" x14ac:dyDescent="0.55000000000000004">
      <c r="A7" s="454" t="s">
        <v>128</v>
      </c>
      <c r="B7" s="452" t="s">
        <v>53</v>
      </c>
      <c r="C7" s="452"/>
      <c r="D7" s="452"/>
      <c r="E7" s="452"/>
      <c r="F7" s="452"/>
      <c r="G7" s="452"/>
      <c r="H7" s="452"/>
      <c r="I7" s="452"/>
      <c r="J7" s="452"/>
      <c r="K7" s="453"/>
    </row>
    <row r="8" spans="1:13" ht="24" thickBot="1" x14ac:dyDescent="0.55000000000000004">
      <c r="A8" s="455"/>
      <c r="B8" s="87" t="s">
        <v>36</v>
      </c>
      <c r="C8" s="92" t="s">
        <v>31</v>
      </c>
      <c r="D8" s="93" t="s">
        <v>32</v>
      </c>
      <c r="E8" s="92" t="s">
        <v>33</v>
      </c>
      <c r="F8" s="92" t="s">
        <v>54</v>
      </c>
      <c r="G8" s="92" t="s">
        <v>55</v>
      </c>
      <c r="H8" s="92" t="s">
        <v>61</v>
      </c>
      <c r="I8" s="92" t="s">
        <v>125</v>
      </c>
      <c r="J8" s="92" t="s">
        <v>62</v>
      </c>
      <c r="K8" s="92" t="s">
        <v>62</v>
      </c>
    </row>
    <row r="9" spans="1:13" x14ac:dyDescent="0.5">
      <c r="A9" s="455"/>
      <c r="B9" s="94" t="s">
        <v>34</v>
      </c>
      <c r="C9" s="21"/>
      <c r="D9" s="102">
        <v>0.25</v>
      </c>
      <c r="E9" s="102">
        <v>0.6</v>
      </c>
      <c r="F9" s="21"/>
      <c r="G9" s="21"/>
      <c r="H9" s="21"/>
      <c r="I9" s="102">
        <v>0.25</v>
      </c>
      <c r="J9" s="91"/>
      <c r="K9" s="22"/>
    </row>
    <row r="10" spans="1:13" x14ac:dyDescent="0.5">
      <c r="A10" s="455"/>
      <c r="B10" s="95" t="s">
        <v>35</v>
      </c>
      <c r="C10" s="101">
        <v>0.2</v>
      </c>
      <c r="D10" s="101">
        <v>0.6</v>
      </c>
      <c r="E10" s="101">
        <v>0.6</v>
      </c>
      <c r="F10" s="23"/>
      <c r="G10" s="101">
        <v>0.2</v>
      </c>
      <c r="H10" s="23"/>
      <c r="I10" s="101">
        <v>0.6</v>
      </c>
      <c r="J10" s="24"/>
      <c r="K10" s="25"/>
    </row>
    <row r="11" spans="1:13" x14ac:dyDescent="0.5">
      <c r="A11" s="455"/>
      <c r="B11" s="94" t="s">
        <v>52</v>
      </c>
      <c r="C11" s="26">
        <f>1*C10*2400</f>
        <v>480</v>
      </c>
      <c r="D11" s="27">
        <f>+D9*D10*2400</f>
        <v>360</v>
      </c>
      <c r="E11" s="27">
        <f>+E9*E10*2400</f>
        <v>864</v>
      </c>
      <c r="F11" s="105">
        <v>180</v>
      </c>
      <c r="G11" s="27">
        <f>+G10*H4*1*2400</f>
        <v>1680.0000000000002</v>
      </c>
      <c r="H11" s="105">
        <v>50</v>
      </c>
      <c r="I11" s="27">
        <f>+I9*I10*2400</f>
        <v>360</v>
      </c>
      <c r="J11" s="105">
        <v>0</v>
      </c>
      <c r="K11" s="107">
        <v>0</v>
      </c>
    </row>
    <row r="12" spans="1:13" ht="24" thickBot="1" x14ac:dyDescent="0.55000000000000004">
      <c r="A12" s="455"/>
      <c r="B12" s="96" t="s">
        <v>67</v>
      </c>
      <c r="C12" s="28">
        <f>+M12</f>
        <v>1536000</v>
      </c>
      <c r="D12" s="28">
        <f>+M13</f>
        <v>64800</v>
      </c>
      <c r="E12" s="28">
        <f>+M16</f>
        <v>483840</v>
      </c>
      <c r="F12" s="28">
        <f>+M14</f>
        <v>93960</v>
      </c>
      <c r="G12" s="28">
        <f>+M17</f>
        <v>0</v>
      </c>
      <c r="H12" s="28">
        <f>+M15</f>
        <v>160000</v>
      </c>
      <c r="I12" s="28">
        <f>+I11*J13</f>
        <v>0</v>
      </c>
      <c r="J12" s="29"/>
      <c r="K12" s="30"/>
      <c r="L12" s="252" t="s">
        <v>68</v>
      </c>
      <c r="M12" s="5">
        <f>($C$11)*($D$3*$H$3)</f>
        <v>1536000</v>
      </c>
    </row>
    <row r="13" spans="1:13" x14ac:dyDescent="0.5">
      <c r="A13" s="455"/>
      <c r="B13" s="32" t="s">
        <v>56</v>
      </c>
      <c r="C13" s="31"/>
      <c r="D13" s="103">
        <v>180</v>
      </c>
      <c r="E13" s="32" t="s">
        <v>58</v>
      </c>
      <c r="F13" s="13"/>
      <c r="G13" s="103">
        <v>0</v>
      </c>
      <c r="H13" s="32" t="s">
        <v>126</v>
      </c>
      <c r="I13" s="33"/>
      <c r="J13" s="103">
        <v>0</v>
      </c>
      <c r="K13" s="14"/>
      <c r="L13" s="252" t="s">
        <v>63</v>
      </c>
      <c r="M13" s="5">
        <f>+D11*D14</f>
        <v>64800</v>
      </c>
    </row>
    <row r="14" spans="1:13" x14ac:dyDescent="0.5">
      <c r="A14" s="455"/>
      <c r="B14" s="32" t="s">
        <v>57</v>
      </c>
      <c r="C14" s="31"/>
      <c r="D14" s="104">
        <v>180</v>
      </c>
      <c r="E14" s="32" t="s">
        <v>59</v>
      </c>
      <c r="F14" s="13"/>
      <c r="G14" s="106">
        <v>160</v>
      </c>
      <c r="H14" s="9"/>
      <c r="I14" s="33"/>
      <c r="J14" s="13"/>
      <c r="K14" s="14"/>
      <c r="L14" s="252" t="s">
        <v>54</v>
      </c>
      <c r="M14" s="5">
        <f>+F11*(H4-D10)*D13</f>
        <v>93960</v>
      </c>
    </row>
    <row r="15" spans="1:13" x14ac:dyDescent="0.5">
      <c r="A15" s="455"/>
      <c r="B15" s="456" t="s">
        <v>60</v>
      </c>
      <c r="C15" s="456"/>
      <c r="D15" s="457">
        <f>+SUM(M12:M20)/1000</f>
        <v>2338.6</v>
      </c>
      <c r="E15" s="457"/>
      <c r="F15" s="458" t="s">
        <v>420</v>
      </c>
      <c r="G15" s="458"/>
      <c r="H15" s="457">
        <f>ROUND(D15*D5,4)</f>
        <v>93544</v>
      </c>
      <c r="I15" s="457"/>
      <c r="J15" s="16"/>
      <c r="K15" s="20"/>
      <c r="L15" s="252" t="s">
        <v>61</v>
      </c>
      <c r="M15" s="5">
        <f>+H11*D3*H3</f>
        <v>160000</v>
      </c>
    </row>
    <row r="16" spans="1:13" ht="23.25" customHeight="1" x14ac:dyDescent="0.5">
      <c r="A16" s="400" t="s">
        <v>344</v>
      </c>
      <c r="B16" s="443" t="s">
        <v>193</v>
      </c>
      <c r="C16" s="422"/>
      <c r="D16" s="422"/>
      <c r="E16" s="422"/>
      <c r="F16" s="422"/>
      <c r="G16" s="422"/>
      <c r="H16" s="422"/>
      <c r="I16" s="422"/>
      <c r="J16" s="422"/>
      <c r="K16" s="424"/>
      <c r="L16" s="252" t="s">
        <v>33</v>
      </c>
      <c r="M16" s="2">
        <f>+G14*H4*E11</f>
        <v>483840</v>
      </c>
    </row>
    <row r="17" spans="1:36" ht="23.25" customHeight="1" x14ac:dyDescent="0.5">
      <c r="A17" s="401"/>
      <c r="B17" s="461">
        <v>5</v>
      </c>
      <c r="C17" s="463" t="str">
        <f>+IF(B17=1,"ได้แก่ เพชรบุรี,ราชบุรี,นครปฐม",IF(B17=2,"ได้แก่ นครปฐม,สมุทสงคราม,สมุทรสาคร",IF(B17=3,"ได้แก่ อยุธยา",IF(B17=4,"ได้แก่ นนทบุรี,ปทุมธานี (อ.เมือง ,อ.ลาดหลุมแก้ว)",IF(B17=5,"ได้แก่ กรุงเทพฯ,สมุทรปราการ",IF(B17=6,"ได้แก่ ฉะเชิงเทรา,นครนายก,ปทุมธานี,ปราจีนบุรี",IF(B17=7,"ได้แก่ ชลบุรี",IF(B17=8,"ได้แก่ ภาคเหนือ,ภาคกลาง,ภาคใต้ รายการนี้ไม่สามารถคำนวณได้"))))))))</f>
        <v>ได้แก่ กรุงเทพฯ,สมุทรปราการ</v>
      </c>
      <c r="D17" s="463"/>
      <c r="E17" s="463"/>
      <c r="F17" s="463"/>
      <c r="G17" s="463"/>
      <c r="H17" s="463"/>
      <c r="I17" s="463"/>
      <c r="J17" s="463"/>
      <c r="K17" s="467" t="str">
        <f>+IF(B17=8,"FAIL","OK")</f>
        <v>OK</v>
      </c>
      <c r="L17" s="252" t="s">
        <v>64</v>
      </c>
      <c r="M17" s="2">
        <f>+G13*G11</f>
        <v>0</v>
      </c>
      <c r="O17" s="210">
        <v>1</v>
      </c>
      <c r="P17" t="s">
        <v>194</v>
      </c>
    </row>
    <row r="18" spans="1:36" ht="23.25" customHeight="1" x14ac:dyDescent="0.5">
      <c r="A18" s="401"/>
      <c r="B18" s="462"/>
      <c r="C18" s="464"/>
      <c r="D18" s="464"/>
      <c r="E18" s="464"/>
      <c r="F18" s="464"/>
      <c r="G18" s="464"/>
      <c r="H18" s="464"/>
      <c r="I18" s="464"/>
      <c r="J18" s="464"/>
      <c r="K18" s="464"/>
      <c r="L18" s="252" t="s">
        <v>125</v>
      </c>
      <c r="M18" s="2">
        <f>+J13*I11</f>
        <v>0</v>
      </c>
      <c r="O18" s="210">
        <v>2</v>
      </c>
      <c r="P18" t="s">
        <v>195</v>
      </c>
      <c r="U18" s="11"/>
      <c r="V18" s="468"/>
      <c r="W18" s="468"/>
      <c r="X18" s="69"/>
      <c r="Y18" s="468"/>
      <c r="Z18" s="468"/>
      <c r="AA18" s="11"/>
    </row>
    <row r="19" spans="1:36" ht="23.25" customHeight="1" x14ac:dyDescent="0.5">
      <c r="A19" s="402"/>
      <c r="B19" s="459">
        <f>+B17</f>
        <v>5</v>
      </c>
      <c r="C19" s="214" t="s">
        <v>203</v>
      </c>
      <c r="D19" s="215" t="s">
        <v>204</v>
      </c>
      <c r="E19" s="215" t="s">
        <v>205</v>
      </c>
      <c r="F19" s="215" t="s">
        <v>206</v>
      </c>
      <c r="G19" s="215" t="s">
        <v>207</v>
      </c>
      <c r="H19" s="215" t="s">
        <v>208</v>
      </c>
      <c r="I19" s="215" t="s">
        <v>209</v>
      </c>
      <c r="J19" s="215" t="s">
        <v>210</v>
      </c>
      <c r="K19" s="215" t="s">
        <v>469</v>
      </c>
      <c r="L19" s="252" t="s">
        <v>65</v>
      </c>
      <c r="M19" s="221">
        <f>+J11</f>
        <v>0</v>
      </c>
      <c r="O19" s="210">
        <v>3</v>
      </c>
      <c r="P19" t="s">
        <v>196</v>
      </c>
      <c r="U19" s="468"/>
      <c r="V19" s="468"/>
      <c r="W19" s="468"/>
      <c r="X19" s="468"/>
      <c r="Y19" s="468"/>
      <c r="Z19" s="468"/>
      <c r="AA19" s="11"/>
    </row>
    <row r="20" spans="1:36" ht="23.25" customHeight="1" x14ac:dyDescent="0.5">
      <c r="A20" s="402"/>
      <c r="B20" s="460"/>
      <c r="C20" s="213">
        <f>+IF($B$17=1,0.297,IF($B$17=2,0.199,IF($B$17=3,0.192,IF($B$17=4,0.154,IF($B$17=5,0.126,IF($B$17=6,0.113,IF($B$17=7,0.217,IF(B17=8,"NO"))))))))</f>
        <v>0.126</v>
      </c>
      <c r="D20" s="213">
        <f>+IF($B$17=1,0.297,IF($B$17=2,0.199,IF($B$17=3,0.192,IF($B$17=4,0.154,IF($B$17=5,0.126,IF($B$17=6,0.113,IF($B$17=7,0.217,IF(B17=8,"NO"))))))))</f>
        <v>0.126</v>
      </c>
      <c r="E20" s="213">
        <f>+IF($B$17=1,0.284,IF($B$17=2,0.274,IF($B$17=3,0.198,IF($B$17=4,0.211,IF($B$17=5,0.158,IF($B$17=6,0.144,IF($B$17=7,0.147,IF(B17=8,"NO"))))))))</f>
        <v>0.158</v>
      </c>
      <c r="F20" s="213">
        <f>+IF($B$17=1,0.174,IF($B$17=2,0.205,IF($B$17=3,0.154,IF($B$17=4,0.17,IF($B$17=5,0.174,IF($B$17=6,0.149,IF($B$17=7,0.149,IF(B17=8,"NO"))))))))</f>
        <v>0.17399999999999999</v>
      </c>
      <c r="G20" s="213">
        <f>+IF($B$17=1,0.083,IF($B$17=2,0.107,IF($B$17=3,0.071,IF($B$17=4,0.077,IF($B$17=5,0.078,IF($B$17=6,0.067,IF($B$17=7,0.068,IF(B17=8,"NO"))))))))</f>
        <v>7.8E-2</v>
      </c>
      <c r="H20" s="213">
        <f>+IF($B$17=1,0.062,IF($B$17=2,0.08,IF($B$17=3,0.053,IF($B$17=4,0.058,IF($B$17=5,0.058,IF($B$17=6,0.05,IF($B$17=7,0.051,IF(B17=8,"NO"))))))))</f>
        <v>5.8000000000000003E-2</v>
      </c>
      <c r="I20" s="213">
        <f>+IF($B$17=1,0.05,IF($B$17=2,0.064,IF($B$17=3,0.043,IF($B$17=4,0.046,IF($B$17=5,0.047,IF($B$17=6,0.04,IF($B$17=7,0.041,IF(B17=8,"NO"))))))))</f>
        <v>4.7E-2</v>
      </c>
      <c r="J20" s="213">
        <f>+IF($B$17=1,0.041,IF($B$17=2,0.054,IF($B$17=3,0.036,IF($B$17=4,0.039,IF($B$17=5,0.039,IF($B$17=6,0.034,IF($B$17=7,0.034,IF(B17=8,"NO"))))))))</f>
        <v>3.9E-2</v>
      </c>
      <c r="K20" s="213" t="s">
        <v>214</v>
      </c>
      <c r="L20" s="252" t="s">
        <v>65</v>
      </c>
      <c r="M20" s="221">
        <f>+K11</f>
        <v>0</v>
      </c>
      <c r="O20" s="210">
        <v>4</v>
      </c>
      <c r="P20" t="s">
        <v>199</v>
      </c>
      <c r="U20" s="468"/>
      <c r="V20" s="69"/>
      <c r="W20" s="69"/>
      <c r="X20" s="468"/>
      <c r="Y20" s="69"/>
      <c r="Z20" s="69"/>
      <c r="AA20" s="11"/>
    </row>
    <row r="21" spans="1:36" x14ac:dyDescent="0.5">
      <c r="A21" s="402"/>
      <c r="B21" s="9" t="s">
        <v>211</v>
      </c>
      <c r="C21" s="9"/>
      <c r="D21" s="9"/>
      <c r="E21" s="9"/>
      <c r="F21" s="9"/>
      <c r="G21" s="9"/>
      <c r="H21" s="9"/>
      <c r="I21" s="9"/>
      <c r="J21" s="9"/>
      <c r="K21" s="9"/>
      <c r="O21" s="210">
        <v>5</v>
      </c>
      <c r="P21" t="s">
        <v>197</v>
      </c>
      <c r="U21" s="11"/>
      <c r="V21" s="69"/>
      <c r="W21" s="69"/>
      <c r="X21" s="69"/>
      <c r="Y21" s="11"/>
      <c r="Z21" s="11"/>
      <c r="AA21" s="11"/>
    </row>
    <row r="22" spans="1:36" x14ac:dyDescent="0.5">
      <c r="A22" s="402"/>
      <c r="B22" s="9" t="s">
        <v>288</v>
      </c>
      <c r="C22" s="9"/>
      <c r="D22" s="9"/>
      <c r="E22" s="9"/>
      <c r="F22" s="9"/>
      <c r="G22" s="9"/>
      <c r="H22" s="9"/>
      <c r="I22" s="9"/>
      <c r="J22" s="9"/>
      <c r="K22" s="9"/>
      <c r="O22" s="210">
        <v>6</v>
      </c>
      <c r="P22" s="2" t="s">
        <v>200</v>
      </c>
      <c r="U22" s="11"/>
      <c r="V22" s="69"/>
      <c r="W22" s="69"/>
      <c r="X22" s="69"/>
      <c r="Y22" s="11"/>
      <c r="Z22" s="11"/>
      <c r="AA22" s="11"/>
    </row>
    <row r="23" spans="1:36" ht="29.25" x14ac:dyDescent="0.6">
      <c r="A23" s="403"/>
      <c r="B23" s="289"/>
      <c r="C23" s="419" t="s">
        <v>290</v>
      </c>
      <c r="D23" s="419"/>
      <c r="E23" s="419"/>
      <c r="F23" s="290">
        <f>+E20</f>
        <v>0.158</v>
      </c>
      <c r="G23" s="9"/>
      <c r="H23" s="272"/>
      <c r="I23" s="271"/>
      <c r="J23" s="9"/>
      <c r="K23" s="9"/>
      <c r="O23" s="210">
        <v>7</v>
      </c>
      <c r="P23" s="2" t="s">
        <v>201</v>
      </c>
      <c r="Q23" s="2"/>
      <c r="R23" s="2"/>
      <c r="S23" s="2"/>
      <c r="U23" s="11"/>
      <c r="V23" s="69"/>
      <c r="W23" s="69"/>
      <c r="X23" s="69"/>
      <c r="Y23" s="11"/>
      <c r="Z23" s="11"/>
      <c r="AA23" s="11"/>
      <c r="AC23" s="213" t="s">
        <v>279</v>
      </c>
      <c r="AD23" s="248" t="s">
        <v>281</v>
      </c>
      <c r="AE23" s="212" t="s">
        <v>280</v>
      </c>
      <c r="AH23" s="213" t="s">
        <v>279</v>
      </c>
      <c r="AI23" s="248" t="s">
        <v>281</v>
      </c>
      <c r="AJ23" s="213" t="s">
        <v>280</v>
      </c>
    </row>
    <row r="24" spans="1:36" x14ac:dyDescent="0.5">
      <c r="A24" s="404" t="s">
        <v>130</v>
      </c>
      <c r="B24" s="443" t="s">
        <v>267</v>
      </c>
      <c r="C24" s="443"/>
      <c r="D24" s="422"/>
      <c r="E24" s="422"/>
      <c r="F24" s="422"/>
      <c r="G24" s="422"/>
      <c r="H24" s="422"/>
      <c r="I24" s="422"/>
      <c r="J24" s="422"/>
      <c r="K24" s="424"/>
      <c r="O24" s="210">
        <v>8</v>
      </c>
      <c r="P24" t="s">
        <v>287</v>
      </c>
      <c r="Q24" s="2"/>
      <c r="R24" s="2"/>
      <c r="S24" s="2"/>
      <c r="U24" s="11"/>
      <c r="V24" s="11"/>
      <c r="W24" s="361" t="s">
        <v>359</v>
      </c>
      <c r="X24" s="11">
        <v>1</v>
      </c>
      <c r="Y24" s="11" t="s">
        <v>353</v>
      </c>
      <c r="Z24" s="11"/>
      <c r="AA24" s="11"/>
      <c r="AC24" s="213">
        <v>4</v>
      </c>
      <c r="AD24" s="213">
        <v>2.5</v>
      </c>
      <c r="AE24" s="213">
        <v>4</v>
      </c>
      <c r="AG24" s="296">
        <v>4</v>
      </c>
      <c r="AH24" s="213">
        <f>+IF(AG24=1,4,IF(AG24=1.1,5,IF(AG24=1.2,3,IF(AG24=1.3,4,IF(AG24=2,8,IF(AG24=2.1,7,IF(AG24=2.2,6,IF(AG24=2.3,3.5,IF(AG24=2.4,6,IF(AG24=2.5,5,IF(AG24=2.6,4,IF(AG24=2.7,5,IF(AG24=3,8,IF(AG24=3.1,7,IF(AG24=3.2,4.5,IF(AG24=3.3,3.5,IF(AG24=3.4,8,IF(AG24=3.5,5,IF(AG24=3.6,3,IF(AG24=4,7,IF(AG24=4.1,8,IF(AG24=4.2,7,IF(AG24=4.3,6)))))))))))))))))))))))</f>
        <v>7</v>
      </c>
      <c r="AI24" s="213">
        <f>+IF(AG24=1,2.5,IF(AG24=1.1,2.5,IF(AG24=1.2,3,IF(AG24=1.3,2.5,IF(AG24=2,2,IF(AG24=2.1,2,IF(AG24=2.2,2,IF(AG24=2.3,2.5,IF(AG24=2.4,2.5,IF(AG24=2.5,2.5,IF(AG24=2.6,2.5,IF(AG24=2.7,2.5,IF(AG24=3,3,IF(AG24=3.1,3,IF(AG24=3.2,3,IF(AG24=3.3,3.5,IF(AG24=3.4,3,IF(AG24=3.5,3,IF(AG24=3.6,3,IF(AG24=4,2.5,IF(AG24=4.1,2.5,IF(AG24=4.2,2.5,IF(AG24=4.3,2.5)))))))))))))))))))))))</f>
        <v>2.5</v>
      </c>
      <c r="AJ24" s="213">
        <f>+IF(AG24=1,4,IF(AG24=1.1,5,IF(AG24=1.2,3,IF(AG24=1.3,4,IF(AG24=2,4,IF(AG24=2.1,4,IF(AG24=2.2,5,IF(AG24=2.3,3.5,IF(AG24=2.4,5,IF(AG24=2.5,4.5,IF(AG24=2.6,4,IF(AG24=2.7,4.5,IF(AG24=3,5.5,IF(AG24=3.1,5.5,IF(AG24=3.2,4,IF(AG24=3.3,3,IF(AG24=3.4,5.5,IF(AG24=3.5,4.5,IF(AG24=3.6,2.5,IF(AG24=4,5.5,IF(AG24=4.1,4,IF(AG24=4.2,5.5,IF(AG24=4.3,5)))))))))))))))))))))))</f>
        <v>5.5</v>
      </c>
    </row>
    <row r="25" spans="1:36" x14ac:dyDescent="0.5">
      <c r="A25" s="405"/>
      <c r="B25" s="444">
        <v>2</v>
      </c>
      <c r="C25" s="445"/>
      <c r="D25" s="446" t="str">
        <f>+IF(B25=1,"อาคารชั่วคราว,อาคารเก็บของเล็กๆ(ที่ไม่มีผู้พักอาศัย)",IF(B25=2,"อาคารและโครงสร้างอื่นๆที่มีความสำคัญไม่มากนัก อาทิ บ้านพักอาศัย 2 ชั้นขึ้นไป,โรงงานขนาดเล็ก",IF(B25=3,"อาคารที่เป็นที่ชุมนุม มากกว่า 300 คน,โรงเรียน,หอพัก,คอนโดมิเนียม",IF(B25=4,"อาคารสาธารณะ อาทิ หน่วยงานราชการ,โรงพยาบาล,สถานีตำรวจ,หอประชุม"))))</f>
        <v>อาคารและโครงสร้างอื่นๆที่มีความสำคัญไม่มากนัก อาทิ บ้านพักอาศัย 2 ชั้นขึ้นไป,โรงงานขนาดเล็ก</v>
      </c>
      <c r="E25" s="446"/>
      <c r="F25" s="446"/>
      <c r="G25" s="446"/>
      <c r="H25" s="446"/>
      <c r="I25" s="446"/>
      <c r="J25" s="446"/>
      <c r="K25" s="9"/>
      <c r="N25" s="222">
        <v>1</v>
      </c>
      <c r="O25" t="s">
        <v>268</v>
      </c>
      <c r="W25" s="362"/>
      <c r="X25" s="2">
        <v>1.1000000000000001</v>
      </c>
      <c r="Y25" t="s">
        <v>352</v>
      </c>
      <c r="AC25" s="213">
        <v>5</v>
      </c>
      <c r="AD25" s="213">
        <v>2.5</v>
      </c>
      <c r="AE25" s="213">
        <v>5</v>
      </c>
    </row>
    <row r="26" spans="1:36" ht="23.25" customHeight="1" x14ac:dyDescent="0.5">
      <c r="A26" s="406"/>
      <c r="B26" s="431" t="s">
        <v>273</v>
      </c>
      <c r="C26" s="432"/>
      <c r="D26" s="438" t="str">
        <f>+IF(B25=1,"I(น้อย)",IF(B25=2,"II(ปกติ)",IF(B25=3,"III(มาก)",IF(B25=4,"IV(สูงมาก)"))))</f>
        <v>II(ปกติ)</v>
      </c>
      <c r="E26" s="440" t="s">
        <v>274</v>
      </c>
      <c r="F26" s="441"/>
      <c r="G26" s="428">
        <f>+IF(B25=1,1,IF(B25=2,1,IF(B25=3,1.25,IF(B25=4,1.5))))</f>
        <v>1</v>
      </c>
      <c r="H26" s="425">
        <v>3.5</v>
      </c>
      <c r="I26" s="426"/>
      <c r="J26" s="427"/>
      <c r="K26" s="291"/>
      <c r="N26" s="222">
        <v>2</v>
      </c>
      <c r="O26" t="s">
        <v>398</v>
      </c>
      <c r="W26" s="362"/>
      <c r="X26" s="2">
        <v>1.2</v>
      </c>
      <c r="Y26" t="s">
        <v>360</v>
      </c>
      <c r="AC26" s="213">
        <v>3</v>
      </c>
      <c r="AD26" s="213">
        <v>2.5</v>
      </c>
      <c r="AE26" s="213">
        <v>3</v>
      </c>
    </row>
    <row r="27" spans="1:36" ht="24" customHeight="1" x14ac:dyDescent="0.5">
      <c r="A27" s="406"/>
      <c r="B27" s="433"/>
      <c r="C27" s="432"/>
      <c r="D27" s="439"/>
      <c r="E27" s="442"/>
      <c r="F27" s="433"/>
      <c r="G27" s="429"/>
      <c r="H27" s="249" t="s">
        <v>279</v>
      </c>
      <c r="I27" s="294" t="s">
        <v>281</v>
      </c>
      <c r="J27" s="249" t="s">
        <v>280</v>
      </c>
      <c r="K27" s="9"/>
      <c r="N27" s="222">
        <v>3</v>
      </c>
      <c r="O27" t="s">
        <v>269</v>
      </c>
      <c r="W27" s="362"/>
      <c r="X27" s="2">
        <v>1.3</v>
      </c>
      <c r="Y27" s="11" t="s">
        <v>354</v>
      </c>
      <c r="AC27" s="213">
        <v>4</v>
      </c>
      <c r="AD27" s="213">
        <v>2.5</v>
      </c>
      <c r="AE27" s="213">
        <v>4</v>
      </c>
    </row>
    <row r="28" spans="1:36" ht="23.25" customHeight="1" x14ac:dyDescent="0.5">
      <c r="A28" s="406"/>
      <c r="B28" s="9" t="s">
        <v>402</v>
      </c>
      <c r="C28" s="335">
        <v>1</v>
      </c>
      <c r="D28" s="272">
        <f>0.02*D4</f>
        <v>1.26</v>
      </c>
      <c r="E28" s="9" t="s">
        <v>289</v>
      </c>
      <c r="F28" s="235" t="str">
        <f>+IF(C28=1,"อาคารคสล.",IF(C28=2,"อาคารเหล็ก"))</f>
        <v>อาคารคสล.</v>
      </c>
      <c r="G28" s="430"/>
      <c r="H28" s="213">
        <f>+IF(H26=1,4,IF(H26=1.1,5,IF(H26=1.2,3,IF(H26=1.3,4,IF(H26=2,8,IF(H26=2.1,7,IF(H26=2.2,6,IF(H26=2.3,3.5,IF(H26=2.4,6,IF(H26=2.5,5,IF(H26=2.6,4,IF(H26=2.7,5,IF(H26=3,8,IF(H26=3.1,7,IF(H26=3.2,4.5,IF(H26=3.3,3.5,IF(H26=3.4,8,IF(H26=3.5,5,IF(H26=3.6,3,IF(H26=4,7,IF(H26=4.1,8,IF(H26=4.2,7,IF(H26=4.3,6,IF(H26=5,6,IF(H26=5.1,6.5,IF(H26=5.2,5.5,IF(H26=6,4.5,IF(H26=7,3))))))))))))))))))))))))))))</f>
        <v>5</v>
      </c>
      <c r="I28" s="213">
        <f>+IF(H26=1,2.5,IF(H26=1.1,2.5,IF(H26=1.2,3,IF(H26=1.3,2.5,IF(H26=2,2,IF(H26=2.1,2,IF(H26=2.2,2,IF(H26=2.3,2.5,IF(H26=2.4,2.5,IF(H26=2.5,2.5,IF(H26=2.6,2.5,IF(H26=2.7,2.5,IF(H26=3,3,IF(H26=3.1,3,IF(H26=3.2,3,IF(H26=3.3,3.5,IF(H26=3.4,3,IF(H26=3.5,3,IF(H26=3.6,3,IF(H26=4,2.5,IF(H26=4.1,2.5,IF(H26=4.2,2.5,IF(H26=4.3,2.5,IF(H26=5,2.5,IF(H26=5.1,2.5,IF(H26=5.2,2.5,IF(H26=6,2.5,IF(H26=7,3))))))))))))))))))))))))))))</f>
        <v>3</v>
      </c>
      <c r="J28" s="213">
        <f>+IF(H26=1,4,IF(H26=1.1,5,IF(H26=1.2,3,IF(H26=1.3,4,IF(H26=2,4,IF(H26=2.1,4,IF(H26=2.2,5,IF(H26=2.3,3.5,IF(H26=2.4,5,IF(H26=2.5,4.5,IF(H26=2.6,4,IF(H26=2.7,4.5,IF(H26=3,5.5,IF(H26=3.1,5.5,IF(H26=3.2,4,IF(H26=3.3,3,IF(H26=3.4,5.5,IF(H26=3.5,4.5,IF(H26=3.6,2.5,IF(H26=4,5.5,IF(H26=4.1,4,IF(H26=4.2,5.5,IF(H26=4.3,5,IF(H26=5,5,IF(H26=5.1,5,IF(H26=5.2,4.5,IF(H26=6,4,IF(H26=7,3))))))))))))))))))))))))))))</f>
        <v>4.5</v>
      </c>
      <c r="K28" s="9"/>
      <c r="L28" s="336">
        <v>1</v>
      </c>
      <c r="N28" s="222">
        <v>4</v>
      </c>
      <c r="O28" t="s">
        <v>272</v>
      </c>
      <c r="W28" s="337" t="s">
        <v>403</v>
      </c>
      <c r="X28" s="2">
        <v>2</v>
      </c>
      <c r="Y28" s="11" t="s">
        <v>356</v>
      </c>
      <c r="AC28" s="213">
        <v>8</v>
      </c>
      <c r="AD28" s="213">
        <v>2</v>
      </c>
      <c r="AE28" s="213">
        <v>4</v>
      </c>
    </row>
    <row r="29" spans="1:36" x14ac:dyDescent="0.5">
      <c r="A29" s="406"/>
      <c r="B29" s="9" t="s">
        <v>290</v>
      </c>
      <c r="C29" s="272"/>
      <c r="D29" s="272"/>
      <c r="E29" s="272" t="s">
        <v>306</v>
      </c>
      <c r="F29" s="272">
        <f>+F23</f>
        <v>0.158</v>
      </c>
      <c r="G29" s="9"/>
      <c r="H29" s="9"/>
      <c r="I29" s="9"/>
      <c r="J29" s="9"/>
      <c r="K29" s="9"/>
      <c r="L29" s="334">
        <v>2</v>
      </c>
      <c r="N29" s="2"/>
      <c r="W29" s="338" t="s">
        <v>404</v>
      </c>
      <c r="X29" s="2">
        <v>2.1</v>
      </c>
      <c r="Y29" s="11" t="s">
        <v>355</v>
      </c>
      <c r="AC29" s="213">
        <v>7</v>
      </c>
      <c r="AD29" s="213">
        <v>2</v>
      </c>
      <c r="AE29" s="213">
        <v>4</v>
      </c>
    </row>
    <row r="30" spans="1:36" s="2" customFormat="1" x14ac:dyDescent="0.5">
      <c r="A30" s="406"/>
      <c r="B30" s="365" t="s">
        <v>278</v>
      </c>
      <c r="C30" s="366"/>
      <c r="D30" s="367" t="str">
        <f>+IF(H26=1," ระบบกำแพงรับน้ำหนักแนงดิ่ง (Bearing Wall Sysrem)",IF(H26=1.1," ระบบกำแพงรับน้ำหนักแนงดิ่ง (Bearing Wall Sysrem)",IF(H26=1.2," ระบบกำแพงรับน้ำหนักแนงดิ่ง (Bearing Wall Sysrem)",IF(H26=1.3," ระบบกำแพงรับน้ำหนักแนงดิ่ง (Bearing Wall Sysrem)",IF(H26=2,"ระบบโครงอาคาร (Building Frame System)",IF(H26=2.1,"ระบบโครงอาคาร (Building Frame System)",IF(H26=2.2,"ระบบโครงอาคาร (Building Frame System)",IF(H26=2.3,"ระบบโครงอาคาร (Building Frame System)",IF(H26=2.4,"ระบบโครงอาคาร (Building Frame System)",IF(H26=2.5,"ระบบโครงอาคาร (Building Frame System)",IF(H26=2.6,"ระบบโครงอาคาร (Building Frame System)",IF(H26=2.7,"ระบบโครงอาคาร (Building Frame System)",IF(H26=3,"ระบบโครงต้านทานแรงดัด (Moment Resisting Frame)",IF(H26=3.1,"ระบบโครงต้านทานแรงดัด (Moment Resisting Frame)",IF(H26=3.2,"ระบบโครงต้านทานแรงดัด (Moment Resisting Frame)",IF(H26=3.3,"ระบบโครงต้านทานแรงดัด (Moment Resisting Frame)",IF(H26=3.4,"ระบบโครงต้านทานแรงดัด (Moment Resisting Frame)",IF(H26=3.5,"ระบบโครงต้านทานแรงดัด (Moment Resisting Frame)",IF(H26=3.6,"ระบบโครงต้านทานแรงดัด (Moment Resisting Frame)",IF(H26=4,"ระบบโครงสร้างแบบผสมที่มีโครงต้านการดัดที่เหนียวพิเศษและสามารถต้านแรงด้านข้างได้ไม่น้อยกว่า 25% ของแรงที่กระทำกับอาคารทั้งหมด",IF(H26=4.1,"ระบบโครงสร้างแบบผสมที่มีโครงต้านการดัดที่เหนียวพิเศษและสามารถต้านแรงด้านข้างได้ไม่น้อยกว่า 25% ของแรงที่กระทำกับอาคารทั้งหมด",IF(H26=4.2,"ระบบโครงสร้างแบบผสมที่มีโครงต้านการดัดที่เหนียวพิเศษและสามารถต้านแรงด้านข้างได้ไม่น้อยกว่า 25% ของแรงที่กระทำกับอาคารทั้งหมด",IF(H26=4.3,"ระบบโครงสร้างแบบผสมที่มีโครงต้านการดัดที่เหนียวพิเศษและสามารถต้านแรงด้านข้างได้ไม่น้อยกว่า 25% ของแรงที่กระทำกับอาคารทั้งหมด",IF(H26=5,"ระบบโครงสร้างแบบผสมที่มีโครงต้านการดัดที่เหนียวปานกลางและสามารถต้านแรงด้านข้างได้ไม่น้อยกว่า 25% ของแรงที่กระทำกับอาคารทั้งหมด",IF(H26=5.1,"ระบบโครงสร้างแบบผสมที่มีโครงต้านการดัดที่เหนียวปานกลางและสามารถต้านแรงด้านข้างได้ไม่น้อยกว่า 25% ของแรงที่กระทำกับอาคารทั้งหมด",IF(H26=5.2,"ระบบโครงสร้างแบบผสมที่มีโครงต้านการดัดที่เหนียวปานกลางและสามารถต้านแรงด้านข้างได้ไม่น้อยกว่า 25% ของแรงที่กระทำกับอาคารทั้งหมด",IF(H26=6,"ระบบปฏิสัมพันธ์ระหว่างผนังเฉือนและโครงต้านการดัดแบบธรรมดา  (ใช้กับประเภท ค ,ง  ไม่ได้)",IF(H26=7,"ระบบโครงสร้างที่ไม่มีการให้รายละเอียดสำหรับต้านทานแผ่นดินไหว  (ใช้กับประเภท  ง  ไม่ได้)"))))))))))))))))))))))))))))</f>
        <v>ระบบโครงต้านทานแรงดัด (Moment Resisting Frame)</v>
      </c>
      <c r="E30" s="368"/>
      <c r="F30" s="368"/>
      <c r="G30" s="368"/>
      <c r="H30" s="368"/>
      <c r="I30" s="368"/>
      <c r="J30" s="368"/>
      <c r="K30" s="368"/>
      <c r="W30" s="338"/>
      <c r="X30" s="2">
        <v>2.2000000000000002</v>
      </c>
      <c r="Y30" s="11" t="s">
        <v>357</v>
      </c>
      <c r="AC30" s="213">
        <v>6</v>
      </c>
      <c r="AD30" s="213">
        <v>2</v>
      </c>
      <c r="AE30" s="213">
        <v>5</v>
      </c>
    </row>
    <row r="31" spans="1:36" s="2" customFormat="1" x14ac:dyDescent="0.5">
      <c r="A31" s="406"/>
      <c r="B31" s="365" t="s">
        <v>372</v>
      </c>
      <c r="C31" s="366"/>
      <c r="D31" s="363" t="str">
        <f>+IF(H26=1,"กำแพงรับแรงเฉือนธรรมดา  (ใช้กับประเภท ง ไม่ได้)",IF(H26=1.1,"กำแพงรับแรงเฉือนแบบพิเศษ",IF(H26=1.2,"กำแพงรับแรงเฉือนแบบสำเร็จรูปธรรมดา Pre-Cast (ใช้กับ แรง ค และ ง ไม่ได้)",IF(H26=1.3,"กำแพงรับแรงเฉือนแบบสำเร็จรูป(Pre-Cast)เหนียวปานกลาง (ใช้กับแรง ง ไม่ได้)",IF(H26=2,"โครงแกงแนงเหล็กแบบเยื้องศูนย์ใช้จุดต่อรับแรงดัด",IF(H26=2.1,"โครงแกงแนงเหล็กแบบเยื้องศูนย์ใช้จุดต่อรับแรงเฉือน",IF(H26=2.2,"โครงแกงแนงเหล็กแบบตรงศูนย์รายละเอียดพิเศษ",IF(H26=2.3,"โครงแกงแนงเหล็กแบบตรงศูนย์ธรรมดา",IF(H26=2.4,"กำแพงรับแรงเฉือนแบบพิเศษ",IF(H26=2.5,"กำแพงรับแรงเฉือนธรรมดา  (ใช้กับประเภท ง ไม่ได้)",IF(H26=2.6,"กำแพงรับแรงเฉือนแบบสำเร็จรูปธรรมดา Pre-Cast (ใช้กับ แรง ค และ ง ไม่ได้)",IF(H26=2.7,"กำแพงรับแรงเฉือนแบบสำเร็จรูป(Pre-Cast)เหนียวปานกลาง (ใช้กับแรง ง ไม่ได้)",IF(H26=3,"โครงต้านแรงดัดเหล็กที่มีความเหนียว",IF(H26=3.1,"โครงถักต้านแรงดัดที่มีความเหนี่ยวพิเศษ",IF(H26=3.2,"โครงต้านแรงดัดเหล็กที่มีความเหนียวปานกลาง (ใช้กับแรง ง ไม่ได้)",IF(H26=3.3,"โครงต้านทานแรงดัดเหล็กธรรมดา (ใช้กับแรง  ง ไม่ได้)",IF(H26=3.4,"โครงต้านทานแรงดัดคสล.ที่มีความเหนียว",IF(H26=3.5,"โครงต้านทานแรงดัดคสล.ที่มีความเหนียวจำกัด (ใช้กับแรง ง ไม่ได้ )",IF(H26=3.6,"โครงต้านทานแรงดัดคสล.แบบธรรมดา (ใช้กับประเภท ค ง  ไม่ได้)",IF(H26=4,"ร่วมกับโครงแกงแนงแบบตรงศูนย์แบบพิเศษ",IF(H26=4.1,"ร่วมกับโครงแกงแนงเหล็กเยื้องศูนย์",IF(H26=4.2,"ร่วมกับกำแพงรับแรงเฉือนแบบที่มีการให้ตัวพิเศษ",IF(H26=4.3,"ร่วมกับกำแพงรับแรงเฉือนแบบธรรมดา (ใช้กับประเภท  ง  ไม่ได้)",IF(H26=5,"ร่วมกับโครงแกงแนงเหล็กตรงศูนย์แบบเหนียวพิเศษ",IF(H26=5.1,"ร่วมกับผนังเฉือนแบบเหนียวพิเศษ",IF(H26=5.2,"ร่วมกับผนังเฉือนแบบธรรมดา",IF(H26=6,"ระบบปฏิสัมพันธ์ระหว่างผนังเฉือนและโครงต้านการดัดแบบธรรมดา  (ใช้กับประเภท ค ,ง  ไม่ได้)",IF(H26=7,"ระบบโครงสร้างที่ไม่มีการให้รายละเอียดสำหรับต้านทานแผ่นดินไหว  (ใช้กับประเภท  ง  ไม่ได้)"))))))))))))))))))))))))))))</f>
        <v>โครงต้านทานแรงดัดคสล.ที่มีความเหนียวจำกัด (ใช้กับแรง ง ไม่ได้ )</v>
      </c>
      <c r="E31" s="364"/>
      <c r="F31" s="364"/>
      <c r="G31" s="364"/>
      <c r="H31" s="364"/>
      <c r="I31" s="364"/>
      <c r="J31" s="364"/>
      <c r="K31" s="364"/>
      <c r="W31" s="338"/>
      <c r="X31" s="2">
        <v>2.2999999999999998</v>
      </c>
      <c r="Y31" s="11" t="s">
        <v>358</v>
      </c>
      <c r="AC31" s="213">
        <v>3.5</v>
      </c>
      <c r="AD31" s="213">
        <v>2</v>
      </c>
      <c r="AE31" s="213">
        <v>3.5</v>
      </c>
    </row>
    <row r="32" spans="1:36" x14ac:dyDescent="0.5">
      <c r="A32" s="406"/>
      <c r="B32" s="420" t="s">
        <v>291</v>
      </c>
      <c r="C32" s="261" t="s">
        <v>292</v>
      </c>
      <c r="D32" s="262"/>
      <c r="E32" s="263"/>
      <c r="F32" s="384" t="s">
        <v>301</v>
      </c>
      <c r="G32" s="261" t="s">
        <v>292</v>
      </c>
      <c r="H32" s="262"/>
      <c r="I32" s="263"/>
      <c r="J32" s="9"/>
      <c r="K32" s="9"/>
      <c r="N32" s="2"/>
      <c r="O32" s="188" t="s">
        <v>307</v>
      </c>
      <c r="W32" s="338"/>
      <c r="X32" s="2">
        <v>2.4</v>
      </c>
      <c r="Y32" s="2" t="s">
        <v>352</v>
      </c>
      <c r="AC32" s="213">
        <v>6</v>
      </c>
      <c r="AD32" s="213">
        <v>2.5</v>
      </c>
      <c r="AE32" s="213">
        <v>5</v>
      </c>
    </row>
    <row r="33" spans="1:31" x14ac:dyDescent="0.5">
      <c r="A33" s="406"/>
      <c r="B33" s="421"/>
      <c r="C33" s="255" t="s">
        <v>293</v>
      </c>
      <c r="D33" s="255" t="s">
        <v>294</v>
      </c>
      <c r="E33" s="255" t="s">
        <v>295</v>
      </c>
      <c r="F33" s="385"/>
      <c r="G33" s="255" t="s">
        <v>293</v>
      </c>
      <c r="H33" s="255" t="s">
        <v>294</v>
      </c>
      <c r="I33" s="255" t="s">
        <v>295</v>
      </c>
      <c r="J33" s="9"/>
      <c r="K33" s="9"/>
      <c r="L33" s="297"/>
      <c r="N33" s="2"/>
      <c r="W33" s="338"/>
      <c r="X33" s="2">
        <v>2.5</v>
      </c>
      <c r="Y33" s="11" t="s">
        <v>353</v>
      </c>
      <c r="AC33" s="213">
        <v>5</v>
      </c>
      <c r="AD33" s="213">
        <v>2.5</v>
      </c>
      <c r="AE33" s="213">
        <v>4.5</v>
      </c>
    </row>
    <row r="34" spans="1:31" x14ac:dyDescent="0.5">
      <c r="A34" s="406"/>
      <c r="B34" s="292" t="s">
        <v>296</v>
      </c>
      <c r="C34" s="280" t="s">
        <v>300</v>
      </c>
      <c r="D34" s="280" t="s">
        <v>300</v>
      </c>
      <c r="E34" s="280" t="s">
        <v>300</v>
      </c>
      <c r="F34" s="280" t="s">
        <v>304</v>
      </c>
      <c r="G34" s="280" t="s">
        <v>300</v>
      </c>
      <c r="H34" s="280" t="s">
        <v>300</v>
      </c>
      <c r="I34" s="280" t="s">
        <v>300</v>
      </c>
      <c r="J34" s="9"/>
      <c r="K34" s="9"/>
      <c r="L34" s="13"/>
      <c r="N34" s="2"/>
      <c r="W34" s="338"/>
      <c r="X34" s="2">
        <v>2.6</v>
      </c>
      <c r="Y34" s="2" t="s">
        <v>360</v>
      </c>
      <c r="AC34" s="213">
        <v>4</v>
      </c>
      <c r="AD34" s="213">
        <v>2.5</v>
      </c>
      <c r="AE34" s="213">
        <v>4</v>
      </c>
    </row>
    <row r="35" spans="1:31" ht="24" x14ac:dyDescent="0.5">
      <c r="A35" s="406"/>
      <c r="B35" s="292" t="s">
        <v>297</v>
      </c>
      <c r="C35" s="281" t="s">
        <v>302</v>
      </c>
      <c r="D35" s="281" t="s">
        <v>302</v>
      </c>
      <c r="E35" s="281" t="s">
        <v>286</v>
      </c>
      <c r="F35" s="280" t="s">
        <v>399</v>
      </c>
      <c r="G35" s="281" t="s">
        <v>302</v>
      </c>
      <c r="H35" s="281" t="s">
        <v>302</v>
      </c>
      <c r="I35" s="281" t="s">
        <v>286</v>
      </c>
      <c r="J35" s="9"/>
      <c r="K35" s="9"/>
      <c r="L35" s="246"/>
      <c r="N35" s="2"/>
      <c r="W35" s="338"/>
      <c r="X35" s="2">
        <v>2.7</v>
      </c>
      <c r="Y35" s="11" t="s">
        <v>354</v>
      </c>
      <c r="AC35" s="213">
        <v>5</v>
      </c>
      <c r="AD35" s="213">
        <v>2.5</v>
      </c>
      <c r="AE35" s="213">
        <v>4.5</v>
      </c>
    </row>
    <row r="36" spans="1:31" ht="24" customHeight="1" x14ac:dyDescent="0.5">
      <c r="A36" s="406"/>
      <c r="B36" s="292" t="s">
        <v>298</v>
      </c>
      <c r="C36" s="281" t="s">
        <v>286</v>
      </c>
      <c r="D36" s="281" t="s">
        <v>286</v>
      </c>
      <c r="E36" s="281" t="s">
        <v>303</v>
      </c>
      <c r="F36" s="280" t="s">
        <v>400</v>
      </c>
      <c r="G36" s="281" t="s">
        <v>286</v>
      </c>
      <c r="H36" s="281" t="s">
        <v>286</v>
      </c>
      <c r="I36" s="281" t="s">
        <v>303</v>
      </c>
      <c r="J36" s="9"/>
      <c r="K36" s="9"/>
      <c r="W36" s="337" t="s">
        <v>405</v>
      </c>
      <c r="X36" s="2">
        <v>3</v>
      </c>
      <c r="Y36" t="s">
        <v>361</v>
      </c>
      <c r="AC36" s="213">
        <v>8</v>
      </c>
      <c r="AD36" s="213">
        <v>3</v>
      </c>
      <c r="AE36" s="213">
        <v>5.5</v>
      </c>
    </row>
    <row r="37" spans="1:31" ht="24" x14ac:dyDescent="0.5">
      <c r="A37" s="406"/>
      <c r="B37" s="292" t="s">
        <v>299</v>
      </c>
      <c r="C37" s="281" t="s">
        <v>303</v>
      </c>
      <c r="D37" s="281" t="s">
        <v>303</v>
      </c>
      <c r="E37" s="281" t="s">
        <v>303</v>
      </c>
      <c r="F37" s="280" t="s">
        <v>305</v>
      </c>
      <c r="G37" s="281" t="s">
        <v>303</v>
      </c>
      <c r="H37" s="281" t="s">
        <v>303</v>
      </c>
      <c r="I37" s="281" t="s">
        <v>303</v>
      </c>
      <c r="J37" s="9"/>
      <c r="K37" s="9"/>
      <c r="L37" s="2"/>
      <c r="W37" s="338" t="s">
        <v>406</v>
      </c>
      <c r="X37" s="143">
        <v>3.1</v>
      </c>
      <c r="Y37" s="11" t="s">
        <v>362</v>
      </c>
      <c r="AC37" s="213">
        <v>7</v>
      </c>
      <c r="AD37" s="213">
        <v>3</v>
      </c>
      <c r="AE37" s="213">
        <v>5.5</v>
      </c>
    </row>
    <row r="38" spans="1:31" x14ac:dyDescent="0.5">
      <c r="A38" s="406"/>
      <c r="B38" s="282" t="s">
        <v>339</v>
      </c>
      <c r="C38" s="9"/>
      <c r="D38" s="9"/>
      <c r="E38" s="9"/>
      <c r="F38" s="9"/>
      <c r="G38" s="9"/>
      <c r="H38" s="9"/>
      <c r="I38" s="9"/>
      <c r="J38" s="9"/>
      <c r="K38" s="9"/>
      <c r="N38" s="2"/>
      <c r="W38" s="338"/>
      <c r="X38" s="143">
        <v>3.2</v>
      </c>
      <c r="Y38" s="2" t="s">
        <v>363</v>
      </c>
      <c r="AC38" s="213">
        <v>4.5</v>
      </c>
      <c r="AD38" s="213">
        <v>3</v>
      </c>
      <c r="AE38" s="213">
        <v>4</v>
      </c>
    </row>
    <row r="39" spans="1:31" ht="24" x14ac:dyDescent="0.5">
      <c r="A39" s="406"/>
      <c r="B39" s="283" t="s">
        <v>306</v>
      </c>
      <c r="C39" s="283">
        <f>+F29</f>
        <v>0.158</v>
      </c>
      <c r="D39" s="298" t="str">
        <f>+IF(C39&lt;0.167,"ก",IF(C39&lt;0.33,"ข",IF(C39&lt;0.5,"ค",IF(C39&gt;0.51,"ง"))))</f>
        <v>ก</v>
      </c>
      <c r="E39" s="369" t="s">
        <v>378</v>
      </c>
      <c r="F39" s="370"/>
      <c r="G39" s="283" t="s">
        <v>308</v>
      </c>
      <c r="H39" s="283">
        <f>+F29</f>
        <v>0.158</v>
      </c>
      <c r="I39" s="298" t="str">
        <f>+IF(H39&lt;0.067,"ก",IF(H39&lt;0.133,"ข",IF(H39&lt;0.2,"ค",IF(H39&gt;0.21,"ง"))))</f>
        <v>ค</v>
      </c>
      <c r="J39" s="299" t="s">
        <v>377</v>
      </c>
      <c r="K39" s="284"/>
      <c r="N39" s="2"/>
      <c r="O39" s="211"/>
      <c r="W39" s="338"/>
      <c r="X39" s="143">
        <v>3.3</v>
      </c>
      <c r="Y39" s="11" t="s">
        <v>365</v>
      </c>
      <c r="AC39" s="213">
        <v>3.5</v>
      </c>
      <c r="AD39" s="213">
        <v>3</v>
      </c>
      <c r="AE39" s="213">
        <v>3</v>
      </c>
    </row>
    <row r="40" spans="1:31" x14ac:dyDescent="0.5">
      <c r="A40" s="406"/>
      <c r="B40" s="283" t="s">
        <v>310</v>
      </c>
      <c r="C40" s="285" t="s">
        <v>311</v>
      </c>
      <c r="D40" s="285">
        <f>ROUND(F23*(G26/H28),3)</f>
        <v>3.2000000000000001E-2</v>
      </c>
      <c r="E40" s="286"/>
      <c r="F40" s="286"/>
      <c r="G40" s="287"/>
      <c r="H40" s="288" t="s">
        <v>12</v>
      </c>
      <c r="I40" s="285">
        <f>IF(D28&gt;2.5,"2",IF($D$28&lt;0.5,"1",IF($D$28&lt;2.5,(1+(($D$28-0.5)/2)))))</f>
        <v>1.38</v>
      </c>
      <c r="J40" s="286"/>
      <c r="K40" s="286"/>
      <c r="L40" t="s">
        <v>373</v>
      </c>
      <c r="W40" s="338"/>
      <c r="X40" s="143">
        <v>3.4</v>
      </c>
      <c r="Y40" t="s">
        <v>364</v>
      </c>
      <c r="AC40" s="213">
        <v>8</v>
      </c>
      <c r="AD40" s="213">
        <v>3</v>
      </c>
      <c r="AE40" s="213">
        <v>5.5</v>
      </c>
    </row>
    <row r="41" spans="1:31" s="2" customFormat="1" ht="21.75" customHeight="1" x14ac:dyDescent="0.5">
      <c r="A41" s="407"/>
      <c r="B41" s="283"/>
      <c r="C41" s="285"/>
      <c r="D41" s="371" t="s">
        <v>375</v>
      </c>
      <c r="E41" s="372"/>
      <c r="F41" s="372"/>
      <c r="G41" s="372"/>
      <c r="H41" s="372"/>
      <c r="I41" s="373"/>
      <c r="J41" s="286"/>
      <c r="K41" s="286"/>
      <c r="L41" s="2" t="s">
        <v>374</v>
      </c>
      <c r="W41" s="338"/>
      <c r="X41" s="143">
        <v>3.5</v>
      </c>
      <c r="Y41" s="2" t="s">
        <v>366</v>
      </c>
      <c r="AC41" s="213">
        <v>5</v>
      </c>
      <c r="AD41" s="213">
        <v>3</v>
      </c>
      <c r="AE41" s="213">
        <v>4.5</v>
      </c>
    </row>
    <row r="42" spans="1:31" x14ac:dyDescent="0.5">
      <c r="A42" s="409" t="s">
        <v>347</v>
      </c>
      <c r="B42" s="422" t="s">
        <v>346</v>
      </c>
      <c r="C42" s="422"/>
      <c r="D42" s="423"/>
      <c r="E42" s="423"/>
      <c r="F42" s="423"/>
      <c r="G42" s="423"/>
      <c r="H42" s="423"/>
      <c r="I42" s="423"/>
      <c r="J42" s="422"/>
      <c r="K42" s="424"/>
      <c r="L42" s="2" t="s">
        <v>375</v>
      </c>
      <c r="W42" s="339"/>
      <c r="X42" s="143">
        <v>3.6</v>
      </c>
      <c r="Y42" t="s">
        <v>367</v>
      </c>
      <c r="AC42" s="213">
        <v>3</v>
      </c>
      <c r="AD42" s="213">
        <v>3</v>
      </c>
      <c r="AE42" s="213">
        <v>2.5</v>
      </c>
    </row>
    <row r="43" spans="1:31" ht="23.25" customHeight="1" x14ac:dyDescent="0.5">
      <c r="A43" s="410"/>
      <c r="B43" s="437" t="s">
        <v>329</v>
      </c>
      <c r="C43" s="437"/>
      <c r="D43" s="272">
        <f>ROUND(D40*H15,3)</f>
        <v>2993.4079999999999</v>
      </c>
      <c r="E43" s="9" t="s">
        <v>72</v>
      </c>
      <c r="F43" s="9" t="str">
        <f>+D40*100&amp;"%ของน้ำหนักตัวอาคาร"</f>
        <v>3.2%ของน้ำหนักตัวอาคาร</v>
      </c>
      <c r="G43" s="9"/>
      <c r="H43" s="9"/>
      <c r="I43" s="9"/>
      <c r="J43" s="9"/>
      <c r="K43" s="9"/>
      <c r="L43" s="2" t="s">
        <v>376</v>
      </c>
      <c r="W43" s="337" t="s">
        <v>407</v>
      </c>
      <c r="X43" s="143">
        <v>4</v>
      </c>
      <c r="Y43" t="s">
        <v>368</v>
      </c>
      <c r="AC43" s="213">
        <v>7</v>
      </c>
      <c r="AD43" s="213">
        <v>2.5</v>
      </c>
      <c r="AE43" s="213">
        <v>5.5</v>
      </c>
    </row>
    <row r="44" spans="1:31" x14ac:dyDescent="0.5">
      <c r="A44" s="410"/>
      <c r="B44" s="417" t="s">
        <v>316</v>
      </c>
      <c r="C44" s="9"/>
      <c r="D44" s="9"/>
      <c r="E44" s="417" t="s">
        <v>317</v>
      </c>
      <c r="F44" s="417"/>
      <c r="G44" s="415" t="s">
        <v>92</v>
      </c>
      <c r="H44" s="416">
        <f>+H15*(D3/2)</f>
        <v>1870880</v>
      </c>
      <c r="I44" s="417" t="s">
        <v>315</v>
      </c>
      <c r="J44" s="9"/>
      <c r="K44" s="9"/>
      <c r="W44" s="338" t="s">
        <v>408</v>
      </c>
      <c r="X44" s="143">
        <v>4.0999999999999996</v>
      </c>
      <c r="Y44" t="s">
        <v>369</v>
      </c>
      <c r="AC44" s="213">
        <v>8</v>
      </c>
      <c r="AD44" s="213">
        <v>2.5</v>
      </c>
      <c r="AE44" s="213">
        <v>4</v>
      </c>
    </row>
    <row r="45" spans="1:31" x14ac:dyDescent="0.5">
      <c r="A45" s="410"/>
      <c r="B45" s="417"/>
      <c r="C45" s="9"/>
      <c r="D45" s="9"/>
      <c r="E45" s="417"/>
      <c r="F45" s="417"/>
      <c r="G45" s="415"/>
      <c r="H45" s="416"/>
      <c r="I45" s="417"/>
      <c r="J45" s="9"/>
      <c r="K45" s="9"/>
      <c r="W45" s="338"/>
      <c r="X45" s="143">
        <v>4.2</v>
      </c>
      <c r="Y45" t="s">
        <v>370</v>
      </c>
      <c r="AC45" s="213">
        <v>7</v>
      </c>
      <c r="AD45" s="213">
        <v>2.5</v>
      </c>
      <c r="AE45" s="213">
        <v>5.5</v>
      </c>
    </row>
    <row r="46" spans="1:31" x14ac:dyDescent="0.5">
      <c r="A46" s="410"/>
      <c r="B46" s="9"/>
      <c r="C46" s="9"/>
      <c r="D46" s="418" t="s">
        <v>321</v>
      </c>
      <c r="E46" s="418"/>
      <c r="F46" s="272" t="s">
        <v>327</v>
      </c>
      <c r="G46" s="272" t="s">
        <v>328</v>
      </c>
      <c r="H46" s="418"/>
      <c r="I46" s="418"/>
      <c r="J46" s="272"/>
      <c r="K46" s="9"/>
      <c r="W46" s="339"/>
      <c r="X46" s="143">
        <v>4.3</v>
      </c>
      <c r="Y46" t="s">
        <v>371</v>
      </c>
      <c r="AC46" s="213">
        <v>6</v>
      </c>
      <c r="AD46" s="213">
        <v>2.5</v>
      </c>
      <c r="AE46" s="213">
        <v>5</v>
      </c>
    </row>
    <row r="47" spans="1:31" x14ac:dyDescent="0.5">
      <c r="A47" s="410"/>
      <c r="B47" s="273" t="s">
        <v>318</v>
      </c>
      <c r="C47" s="273"/>
      <c r="D47" s="418" t="s">
        <v>319</v>
      </c>
      <c r="E47" s="418"/>
      <c r="F47" s="274">
        <f>ROUND(0.7*(E9*100*(E10*100)^3)/12,3)</f>
        <v>756000</v>
      </c>
      <c r="G47" s="275">
        <f>ROUND(0.7*(E10*100*(E9*100)^3)/12,3)</f>
        <v>756000</v>
      </c>
      <c r="H47" s="418"/>
      <c r="I47" s="418"/>
      <c r="J47" s="272"/>
      <c r="K47" s="9"/>
      <c r="W47" s="337" t="s">
        <v>409</v>
      </c>
      <c r="X47" s="143">
        <v>5</v>
      </c>
      <c r="Y47" t="s">
        <v>411</v>
      </c>
      <c r="AC47" s="213">
        <v>6</v>
      </c>
      <c r="AD47" s="213">
        <v>2.5</v>
      </c>
      <c r="AE47" s="213">
        <v>5</v>
      </c>
    </row>
    <row r="48" spans="1:31" x14ac:dyDescent="0.5">
      <c r="A48" s="410"/>
      <c r="B48" s="273"/>
      <c r="C48" s="273"/>
      <c r="D48" s="418" t="s">
        <v>320</v>
      </c>
      <c r="E48" s="418"/>
      <c r="F48" s="274">
        <f>ROUND(0.35*(D9*100*(D10*100)^3)/12,3)</f>
        <v>157500</v>
      </c>
      <c r="G48" s="275">
        <f>ROUND(0.35*(D10*100*(D9*100)^3)/12,3)</f>
        <v>27343.75</v>
      </c>
      <c r="H48" s="9"/>
      <c r="I48" s="9"/>
      <c r="J48" s="9"/>
      <c r="K48" s="9"/>
      <c r="M48"/>
      <c r="O48" s="2"/>
      <c r="W48" s="338" t="s">
        <v>410</v>
      </c>
      <c r="X48" s="143">
        <v>5.0999999999999996</v>
      </c>
      <c r="Y48" t="s">
        <v>412</v>
      </c>
      <c r="AC48" s="213">
        <v>6.5</v>
      </c>
      <c r="AD48" s="213">
        <v>2.5</v>
      </c>
      <c r="AE48" s="213">
        <v>5</v>
      </c>
    </row>
    <row r="49" spans="1:31" x14ac:dyDescent="0.5">
      <c r="A49" s="410"/>
      <c r="B49" s="9"/>
      <c r="C49" s="9"/>
      <c r="D49" s="9"/>
      <c r="E49" s="9"/>
      <c r="F49" s="276"/>
      <c r="G49" s="276"/>
      <c r="H49" s="9"/>
      <c r="I49" s="9"/>
      <c r="J49" s="9"/>
      <c r="K49" s="9"/>
      <c r="L49" s="252"/>
      <c r="M49" s="434"/>
      <c r="N49" s="434"/>
      <c r="O49" s="2"/>
      <c r="W49" s="340"/>
      <c r="X49" s="143">
        <v>5.2</v>
      </c>
      <c r="Y49" t="s">
        <v>413</v>
      </c>
      <c r="AC49" s="213">
        <v>5.5</v>
      </c>
      <c r="AD49" s="213">
        <v>2.5</v>
      </c>
      <c r="AE49" s="213">
        <v>4.5</v>
      </c>
    </row>
    <row r="50" spans="1:31" x14ac:dyDescent="0.5">
      <c r="A50" s="410"/>
      <c r="B50" s="273" t="s">
        <v>326</v>
      </c>
      <c r="C50" s="273"/>
      <c r="D50" s="9"/>
      <c r="E50" s="9"/>
      <c r="F50" s="435">
        <f>ROUND(12*$H$6,1)</f>
        <v>2827587.7</v>
      </c>
      <c r="G50" s="435"/>
      <c r="H50" s="9"/>
      <c r="I50" s="436">
        <f>+F50/((F51+G51*H51))</f>
        <v>1163348.9830607346</v>
      </c>
      <c r="J50" s="436"/>
      <c r="K50" s="9"/>
      <c r="M50" s="253"/>
      <c r="N50" s="253"/>
      <c r="X50" s="143">
        <v>6</v>
      </c>
      <c r="Y50" t="s">
        <v>414</v>
      </c>
      <c r="AC50" s="213">
        <v>4.5</v>
      </c>
      <c r="AD50" s="213">
        <v>2.5</v>
      </c>
      <c r="AE50" s="213">
        <v>4</v>
      </c>
    </row>
    <row r="51" spans="1:31" x14ac:dyDescent="0.5">
      <c r="A51" s="410"/>
      <c r="B51" s="273" t="s">
        <v>333</v>
      </c>
      <c r="C51" s="273"/>
      <c r="D51" s="9"/>
      <c r="E51" s="9"/>
      <c r="F51" s="277">
        <f>1/(($F$47/($H$4*100))*($G$14))</f>
        <v>2.8935185185185184E-6</v>
      </c>
      <c r="G51" s="278">
        <f>1/(($F$48/($K$4*100))*($K$5))</f>
        <v>1.9841269841269841E-5</v>
      </c>
      <c r="H51" s="279">
        <f>+($H$4*100)^2</f>
        <v>122500</v>
      </c>
      <c r="I51" s="436"/>
      <c r="J51" s="436"/>
      <c r="K51" s="408" t="str">
        <f>+IF(I50&gt;I53,"OK... IC&gt;IB","NO..IC&lt;IB")</f>
        <v>OK... IC&gt;IB</v>
      </c>
      <c r="L51" s="252"/>
      <c r="M51" s="254"/>
      <c r="O51" s="2"/>
      <c r="Q51">
        <v>1</v>
      </c>
      <c r="X51" s="143">
        <v>7</v>
      </c>
      <c r="Y51" t="s">
        <v>415</v>
      </c>
      <c r="AC51" s="213">
        <v>3</v>
      </c>
      <c r="AD51" s="213">
        <v>3</v>
      </c>
      <c r="AE51" s="213">
        <v>3</v>
      </c>
    </row>
    <row r="52" spans="1:31" x14ac:dyDescent="0.5">
      <c r="A52" s="410"/>
      <c r="B52" s="9"/>
      <c r="C52" s="9"/>
      <c r="D52" s="9"/>
      <c r="E52" s="9"/>
      <c r="F52" s="9"/>
      <c r="G52" s="9"/>
      <c r="H52" s="9"/>
      <c r="I52" s="9"/>
      <c r="J52" s="9"/>
      <c r="K52" s="408"/>
      <c r="O52" s="2"/>
      <c r="Q52">
        <f>1+Q51</f>
        <v>2</v>
      </c>
      <c r="AC52" s="212"/>
      <c r="AD52" s="212"/>
      <c r="AE52" s="212"/>
    </row>
    <row r="53" spans="1:31" x14ac:dyDescent="0.5">
      <c r="A53" s="410"/>
      <c r="B53" s="273" t="s">
        <v>326</v>
      </c>
      <c r="C53" s="273"/>
      <c r="D53" s="9"/>
      <c r="E53" s="9"/>
      <c r="F53" s="435">
        <f>ROUND(12*$H$6,1)</f>
        <v>2827587.7</v>
      </c>
      <c r="G53" s="435"/>
      <c r="H53" s="9"/>
      <c r="I53" s="436">
        <f>+F53/((F54+G54*H54))</f>
        <v>288529.27195257228</v>
      </c>
      <c r="J53" s="436"/>
      <c r="K53" s="9"/>
      <c r="Q53" s="2">
        <f t="shared" ref="Q53:Q90" si="0">1+Q52</f>
        <v>3</v>
      </c>
      <c r="AC53" s="212"/>
      <c r="AD53" s="212"/>
      <c r="AE53" s="212"/>
    </row>
    <row r="54" spans="1:31" x14ac:dyDescent="0.5">
      <c r="A54" s="411"/>
      <c r="B54" s="273" t="s">
        <v>419</v>
      </c>
      <c r="C54" s="273"/>
      <c r="D54" s="9"/>
      <c r="E54" s="9"/>
      <c r="F54" s="277">
        <f>1/(($G$47/($H$4*100)*($G$14)))</f>
        <v>2.8935185185185184E-6</v>
      </c>
      <c r="G54" s="278">
        <f>1/(($G$48/($H$4*100))*($K$6))</f>
        <v>8.0000000000000007E-5</v>
      </c>
      <c r="H54" s="279">
        <f>+($H$4*100)^2</f>
        <v>122500</v>
      </c>
      <c r="I54" s="436"/>
      <c r="J54" s="436"/>
      <c r="K54" s="9"/>
      <c r="L54" s="252"/>
      <c r="M54" s="434"/>
      <c r="N54" s="434"/>
      <c r="O54" s="2"/>
      <c r="Q54" s="2">
        <f t="shared" si="0"/>
        <v>4</v>
      </c>
      <c r="AC54" s="212"/>
      <c r="AD54" s="212"/>
      <c r="AE54" s="212"/>
    </row>
    <row r="55" spans="1:31" s="2" customFormat="1" x14ac:dyDescent="0.5">
      <c r="A55" s="375" t="s">
        <v>345</v>
      </c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M55" s="253"/>
      <c r="Q55" s="2">
        <f t="shared" si="0"/>
        <v>5</v>
      </c>
      <c r="AC55" s="212"/>
      <c r="AD55" s="212"/>
      <c r="AE55" s="212"/>
    </row>
    <row r="56" spans="1:31" s="2" customFormat="1" x14ac:dyDescent="0.5">
      <c r="A56" s="375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Q56" s="2">
        <f t="shared" si="0"/>
        <v>6</v>
      </c>
      <c r="AC56" s="212"/>
      <c r="AD56" s="212"/>
      <c r="AE56" s="212"/>
    </row>
    <row r="57" spans="1:31" s="2" customFormat="1" x14ac:dyDescent="0.5">
      <c r="A57" s="412" t="s">
        <v>348</v>
      </c>
      <c r="B57" s="64"/>
      <c r="C57" s="64"/>
      <c r="D57" s="64"/>
      <c r="E57" s="64"/>
      <c r="F57" s="64"/>
      <c r="G57" s="64"/>
      <c r="H57" s="64"/>
      <c r="I57" s="64"/>
      <c r="J57" s="64"/>
      <c r="K57" s="67"/>
      <c r="Q57" s="2">
        <f t="shared" si="0"/>
        <v>7</v>
      </c>
      <c r="AC57" s="212"/>
      <c r="AD57" s="212"/>
      <c r="AE57" s="212"/>
    </row>
    <row r="58" spans="1:31" s="2" customFormat="1" x14ac:dyDescent="0.5">
      <c r="A58" s="413"/>
      <c r="B58" s="11"/>
      <c r="C58" s="11"/>
      <c r="D58" s="11"/>
      <c r="E58" s="11"/>
      <c r="F58" s="11"/>
      <c r="G58" s="11"/>
      <c r="H58" s="11"/>
      <c r="I58" s="11"/>
      <c r="J58" s="11"/>
      <c r="K58" s="50"/>
      <c r="Q58" s="2">
        <f t="shared" si="0"/>
        <v>8</v>
      </c>
      <c r="AC58" s="212"/>
      <c r="AD58" s="212"/>
      <c r="AE58" s="212"/>
    </row>
    <row r="59" spans="1:31" ht="87" customHeight="1" x14ac:dyDescent="0.5">
      <c r="A59" s="413"/>
      <c r="B59" s="11"/>
      <c r="C59" s="11"/>
      <c r="D59" s="11"/>
      <c r="E59" s="11"/>
      <c r="F59" s="11"/>
      <c r="G59" s="11"/>
      <c r="H59" s="11"/>
      <c r="I59" s="11"/>
      <c r="J59" s="11"/>
      <c r="K59" s="50"/>
      <c r="Q59" s="2">
        <f t="shared" si="0"/>
        <v>9</v>
      </c>
      <c r="AC59" s="212"/>
      <c r="AD59" s="212"/>
      <c r="AE59" s="212"/>
    </row>
    <row r="60" spans="1:31" ht="20.100000000000001" customHeight="1" x14ac:dyDescent="0.5">
      <c r="A60" s="413"/>
      <c r="B60" s="293" t="s">
        <v>22</v>
      </c>
      <c r="C60" s="255" t="s">
        <v>313</v>
      </c>
      <c r="D60" s="255" t="s">
        <v>80</v>
      </c>
      <c r="E60" s="255" t="s">
        <v>314</v>
      </c>
      <c r="F60" s="255" t="s">
        <v>330</v>
      </c>
      <c r="G60" s="255" t="s">
        <v>331</v>
      </c>
      <c r="H60" s="256"/>
      <c r="I60" s="255" t="s">
        <v>332</v>
      </c>
      <c r="J60" s="11"/>
      <c r="K60" s="50"/>
      <c r="Q60" s="2">
        <f t="shared" si="0"/>
        <v>10</v>
      </c>
      <c r="AC60" s="212"/>
      <c r="AD60" s="212"/>
      <c r="AE60" s="212"/>
    </row>
    <row r="61" spans="1:31" ht="20.100000000000001" customHeight="1" x14ac:dyDescent="0.5">
      <c r="A61" s="413"/>
      <c r="B61" s="341">
        <f>+IF($D$5&gt;=40,40,IF($D$5&lt;&gt;40,"0"))</f>
        <v>40</v>
      </c>
      <c r="C61" s="320"/>
      <c r="D61" s="213">
        <f t="shared" ref="D61:D99" si="1">$H$4*B61</f>
        <v>140</v>
      </c>
      <c r="E61" s="238">
        <f t="shared" ref="E61:E99" si="2">+D61*C61</f>
        <v>0</v>
      </c>
      <c r="F61" s="241">
        <f>+$D$43*E61/($E$101)</f>
        <v>0</v>
      </c>
      <c r="G61" s="238">
        <f>+F61</f>
        <v>0</v>
      </c>
      <c r="H61" s="318">
        <v>0</v>
      </c>
      <c r="I61" s="266">
        <f t="shared" ref="I61:I90" si="3">+ROUND(IF(H60=0,0,IF(H60=1,(G60*($H$4)+I60))),2)</f>
        <v>0</v>
      </c>
      <c r="J61" s="11"/>
      <c r="K61" s="50"/>
      <c r="Q61" s="2">
        <f t="shared" si="0"/>
        <v>11</v>
      </c>
      <c r="AC61" s="212"/>
      <c r="AD61" s="212"/>
      <c r="AE61" s="212"/>
    </row>
    <row r="62" spans="1:31" ht="20.100000000000001" customHeight="1" x14ac:dyDescent="0.5">
      <c r="A62" s="413"/>
      <c r="B62" s="341">
        <f>+IF($D$5&gt;=39,39,IF($D$5&lt;&gt;39,"0"))</f>
        <v>39</v>
      </c>
      <c r="C62" s="320"/>
      <c r="D62" s="213">
        <f t="shared" si="1"/>
        <v>136.5</v>
      </c>
      <c r="E62" s="238">
        <f t="shared" si="2"/>
        <v>0</v>
      </c>
      <c r="F62" s="241">
        <f t="shared" ref="F62:F100" si="4">+$D$43*E62/($E$101)</f>
        <v>0</v>
      </c>
      <c r="G62" s="238">
        <f>+G61+F62</f>
        <v>0</v>
      </c>
      <c r="H62" s="318">
        <v>0</v>
      </c>
      <c r="I62" s="266">
        <f t="shared" si="3"/>
        <v>0</v>
      </c>
      <c r="J62" s="327"/>
      <c r="K62" s="50"/>
      <c r="Q62" s="2">
        <f t="shared" si="0"/>
        <v>12</v>
      </c>
      <c r="AC62" s="212"/>
      <c r="AD62" s="212"/>
      <c r="AE62" s="212"/>
    </row>
    <row r="63" spans="1:31" ht="20.100000000000001" customHeight="1" x14ac:dyDescent="0.5">
      <c r="A63" s="413"/>
      <c r="B63" s="341">
        <f>+IF($D$5&gt;=38,38,IF($D$5&lt;&gt;38,"0"))</f>
        <v>38</v>
      </c>
      <c r="C63" s="320"/>
      <c r="D63" s="213">
        <f t="shared" si="1"/>
        <v>133</v>
      </c>
      <c r="E63" s="238">
        <f t="shared" si="2"/>
        <v>0</v>
      </c>
      <c r="F63" s="241">
        <f t="shared" si="4"/>
        <v>0</v>
      </c>
      <c r="G63" s="238">
        <f t="shared" ref="G63:G100" si="5">+G62+F63</f>
        <v>0</v>
      </c>
      <c r="H63" s="318">
        <v>0</v>
      </c>
      <c r="I63" s="266">
        <f t="shared" si="3"/>
        <v>0</v>
      </c>
      <c r="J63" s="327"/>
      <c r="K63" s="50"/>
      <c r="Q63" s="2">
        <f t="shared" si="0"/>
        <v>13</v>
      </c>
      <c r="AC63" s="212"/>
      <c r="AD63" s="212"/>
      <c r="AE63" s="212"/>
    </row>
    <row r="64" spans="1:31" ht="20.100000000000001" customHeight="1" x14ac:dyDescent="0.5">
      <c r="A64" s="413"/>
      <c r="B64" s="341">
        <f>+IF($D$5&gt;=37,37,IF($D$5&lt;&gt;37,"0"))</f>
        <v>37</v>
      </c>
      <c r="C64" s="320"/>
      <c r="D64" s="213">
        <f t="shared" si="1"/>
        <v>129.5</v>
      </c>
      <c r="E64" s="238">
        <f t="shared" si="2"/>
        <v>0</v>
      </c>
      <c r="F64" s="241">
        <f t="shared" si="4"/>
        <v>0</v>
      </c>
      <c r="G64" s="238">
        <f t="shared" si="5"/>
        <v>0</v>
      </c>
      <c r="H64" s="318">
        <v>0</v>
      </c>
      <c r="I64" s="266">
        <f t="shared" si="3"/>
        <v>0</v>
      </c>
      <c r="J64" s="327"/>
      <c r="K64" s="50"/>
      <c r="Q64" s="2">
        <f t="shared" si="0"/>
        <v>14</v>
      </c>
      <c r="AC64" s="212"/>
      <c r="AD64" s="212"/>
      <c r="AE64" s="212"/>
    </row>
    <row r="65" spans="1:31" ht="20.100000000000001" customHeight="1" x14ac:dyDescent="0.5">
      <c r="A65" s="413"/>
      <c r="B65" s="341">
        <f>+IF($D$5&gt;=36,36,IF($D$5&lt;&gt;36,"0"))</f>
        <v>36</v>
      </c>
      <c r="C65" s="320"/>
      <c r="D65" s="213">
        <f t="shared" si="1"/>
        <v>126</v>
      </c>
      <c r="E65" s="238">
        <f t="shared" si="2"/>
        <v>0</v>
      </c>
      <c r="F65" s="241">
        <f t="shared" si="4"/>
        <v>0</v>
      </c>
      <c r="G65" s="238">
        <f t="shared" si="5"/>
        <v>0</v>
      </c>
      <c r="H65" s="318">
        <v>0</v>
      </c>
      <c r="I65" s="266">
        <f t="shared" si="3"/>
        <v>0</v>
      </c>
      <c r="J65" s="327"/>
      <c r="K65" s="50"/>
      <c r="Q65" s="2">
        <f t="shared" si="0"/>
        <v>15</v>
      </c>
      <c r="AC65" s="212"/>
      <c r="AD65" s="212"/>
      <c r="AE65" s="212"/>
    </row>
    <row r="66" spans="1:31" ht="20.100000000000001" customHeight="1" x14ac:dyDescent="0.5">
      <c r="A66" s="413"/>
      <c r="B66" s="341">
        <f>+IF($D$5&gt;=35,35,IF($D$5&lt;&gt;35,"0"))</f>
        <v>35</v>
      </c>
      <c r="C66" s="320"/>
      <c r="D66" s="213">
        <f t="shared" si="1"/>
        <v>122.5</v>
      </c>
      <c r="E66" s="238">
        <f t="shared" si="2"/>
        <v>0</v>
      </c>
      <c r="F66" s="241">
        <f t="shared" si="4"/>
        <v>0</v>
      </c>
      <c r="G66" s="238">
        <f t="shared" si="5"/>
        <v>0</v>
      </c>
      <c r="H66" s="318">
        <v>0</v>
      </c>
      <c r="I66" s="266">
        <f t="shared" si="3"/>
        <v>0</v>
      </c>
      <c r="J66" s="327"/>
      <c r="K66" s="50"/>
      <c r="Q66" s="2">
        <f t="shared" si="0"/>
        <v>16</v>
      </c>
      <c r="AC66" s="212"/>
      <c r="AD66" s="212"/>
      <c r="AE66" s="212"/>
    </row>
    <row r="67" spans="1:31" ht="20.100000000000001" customHeight="1" x14ac:dyDescent="0.5">
      <c r="A67" s="413"/>
      <c r="B67" s="341">
        <f>+IF($D$5&gt;=34,34,IF($D$5&lt;&gt;34,"0"))</f>
        <v>34</v>
      </c>
      <c r="C67" s="320"/>
      <c r="D67" s="213">
        <f t="shared" si="1"/>
        <v>119</v>
      </c>
      <c r="E67" s="238">
        <f t="shared" si="2"/>
        <v>0</v>
      </c>
      <c r="F67" s="241">
        <f t="shared" si="4"/>
        <v>0</v>
      </c>
      <c r="G67" s="238">
        <f t="shared" si="5"/>
        <v>0</v>
      </c>
      <c r="H67" s="319">
        <v>0</v>
      </c>
      <c r="I67" s="266">
        <f t="shared" si="3"/>
        <v>0</v>
      </c>
      <c r="J67" s="327"/>
      <c r="K67" s="50"/>
      <c r="Q67" s="2">
        <f t="shared" si="0"/>
        <v>17</v>
      </c>
      <c r="AC67" s="212"/>
      <c r="AD67" s="212"/>
      <c r="AE67" s="212"/>
    </row>
    <row r="68" spans="1:31" ht="20.100000000000001" customHeight="1" x14ac:dyDescent="0.5">
      <c r="A68" s="413"/>
      <c r="B68" s="341">
        <f>+IF($D$5&gt;=33,33,IF($D$5&lt;&gt;33,"0"))</f>
        <v>33</v>
      </c>
      <c r="C68" s="320"/>
      <c r="D68" s="213">
        <f t="shared" si="1"/>
        <v>115.5</v>
      </c>
      <c r="E68" s="238">
        <f t="shared" si="2"/>
        <v>0</v>
      </c>
      <c r="F68" s="241">
        <f t="shared" si="4"/>
        <v>0</v>
      </c>
      <c r="G68" s="238">
        <f t="shared" si="5"/>
        <v>0</v>
      </c>
      <c r="H68" s="318">
        <v>0</v>
      </c>
      <c r="I68" s="265">
        <f t="shared" si="3"/>
        <v>0</v>
      </c>
      <c r="J68" s="327"/>
      <c r="K68" s="50"/>
      <c r="Q68" s="2">
        <f t="shared" si="0"/>
        <v>18</v>
      </c>
      <c r="AC68" s="212"/>
      <c r="AD68" s="212"/>
      <c r="AE68" s="212"/>
    </row>
    <row r="69" spans="1:31" ht="20.100000000000001" customHeight="1" x14ac:dyDescent="0.5">
      <c r="A69" s="413"/>
      <c r="B69" s="341">
        <f>+IF($D$5&gt;=32,32,IF($D$5&lt;32,"0"))</f>
        <v>32</v>
      </c>
      <c r="C69" s="320"/>
      <c r="D69" s="213">
        <f t="shared" si="1"/>
        <v>112</v>
      </c>
      <c r="E69" s="238">
        <f t="shared" si="2"/>
        <v>0</v>
      </c>
      <c r="F69" s="241">
        <f t="shared" si="4"/>
        <v>0</v>
      </c>
      <c r="G69" s="238">
        <f t="shared" si="5"/>
        <v>0</v>
      </c>
      <c r="H69" s="318">
        <v>0</v>
      </c>
      <c r="I69" s="266">
        <f t="shared" si="3"/>
        <v>0</v>
      </c>
      <c r="J69" s="327"/>
      <c r="K69" s="50"/>
      <c r="Q69" s="2">
        <f t="shared" si="0"/>
        <v>19</v>
      </c>
      <c r="AC69" s="212"/>
      <c r="AD69" s="212"/>
      <c r="AE69" s="212"/>
    </row>
    <row r="70" spans="1:31" ht="20.100000000000001" customHeight="1" x14ac:dyDescent="0.5">
      <c r="A70" s="413"/>
      <c r="B70" s="341">
        <f>+IF($D$5&gt;=31,31,IF($D$5&lt;&gt;31,"0"))</f>
        <v>31</v>
      </c>
      <c r="C70" s="320"/>
      <c r="D70" s="213">
        <f t="shared" si="1"/>
        <v>108.5</v>
      </c>
      <c r="E70" s="238">
        <f t="shared" si="2"/>
        <v>0</v>
      </c>
      <c r="F70" s="241">
        <f t="shared" si="4"/>
        <v>0</v>
      </c>
      <c r="G70" s="238">
        <f t="shared" si="5"/>
        <v>0</v>
      </c>
      <c r="H70" s="318">
        <v>0</v>
      </c>
      <c r="I70" s="266">
        <f t="shared" si="3"/>
        <v>0</v>
      </c>
      <c r="J70" s="327"/>
      <c r="K70" s="50"/>
      <c r="Q70" s="2">
        <f t="shared" si="0"/>
        <v>20</v>
      </c>
    </row>
    <row r="71" spans="1:31" ht="20.100000000000001" customHeight="1" x14ac:dyDescent="0.5">
      <c r="A71" s="413"/>
      <c r="B71" s="341">
        <f>+IF($D$5&gt;=30,30,IF($D$5&lt;&gt;30,"0"))</f>
        <v>30</v>
      </c>
      <c r="C71" s="320"/>
      <c r="D71" s="213">
        <f t="shared" si="1"/>
        <v>105</v>
      </c>
      <c r="E71" s="238">
        <f t="shared" si="2"/>
        <v>0</v>
      </c>
      <c r="F71" s="241">
        <f t="shared" si="4"/>
        <v>0</v>
      </c>
      <c r="G71" s="238">
        <f t="shared" si="5"/>
        <v>0</v>
      </c>
      <c r="H71" s="318">
        <v>0</v>
      </c>
      <c r="I71" s="266">
        <f t="shared" si="3"/>
        <v>0</v>
      </c>
      <c r="J71" s="327"/>
      <c r="K71" s="50"/>
      <c r="Q71" s="2">
        <f t="shared" si="0"/>
        <v>21</v>
      </c>
    </row>
    <row r="72" spans="1:31" ht="20.100000000000001" customHeight="1" x14ac:dyDescent="0.5">
      <c r="A72" s="413"/>
      <c r="B72" s="341">
        <f>+IF($D$5&gt;=29,29,IF($D$5&lt;&gt;29,"0"))</f>
        <v>29</v>
      </c>
      <c r="C72" s="320"/>
      <c r="D72" s="213">
        <f t="shared" si="1"/>
        <v>101.5</v>
      </c>
      <c r="E72" s="238">
        <f t="shared" si="2"/>
        <v>0</v>
      </c>
      <c r="F72" s="241">
        <f t="shared" si="4"/>
        <v>0</v>
      </c>
      <c r="G72" s="238">
        <f t="shared" si="5"/>
        <v>0</v>
      </c>
      <c r="H72" s="318">
        <v>0</v>
      </c>
      <c r="I72" s="266">
        <f t="shared" si="3"/>
        <v>0</v>
      </c>
      <c r="J72" s="327"/>
      <c r="K72" s="50"/>
      <c r="Q72" s="2">
        <f t="shared" si="0"/>
        <v>22</v>
      </c>
    </row>
    <row r="73" spans="1:31" ht="20.100000000000001" customHeight="1" x14ac:dyDescent="0.5">
      <c r="A73" s="413"/>
      <c r="B73" s="341">
        <f>+IF($D$5&gt;=28,28,IF($D$5&lt;&gt;28,"0"))</f>
        <v>28</v>
      </c>
      <c r="C73" s="320"/>
      <c r="D73" s="213">
        <f t="shared" si="1"/>
        <v>98</v>
      </c>
      <c r="E73" s="238">
        <f t="shared" si="2"/>
        <v>0</v>
      </c>
      <c r="F73" s="241">
        <f t="shared" si="4"/>
        <v>0</v>
      </c>
      <c r="G73" s="238">
        <f t="shared" si="5"/>
        <v>0</v>
      </c>
      <c r="H73" s="318">
        <v>0</v>
      </c>
      <c r="I73" s="266">
        <f t="shared" si="3"/>
        <v>0</v>
      </c>
      <c r="J73" s="327"/>
      <c r="K73" s="50"/>
      <c r="Q73" s="2">
        <f t="shared" si="0"/>
        <v>23</v>
      </c>
    </row>
    <row r="74" spans="1:31" ht="20.100000000000001" customHeight="1" x14ac:dyDescent="0.5">
      <c r="A74" s="413"/>
      <c r="B74" s="341">
        <f>+IF($D$5&gt;=27,27,IF($D$5&lt;&gt;27,"0"))</f>
        <v>27</v>
      </c>
      <c r="C74" s="320"/>
      <c r="D74" s="213">
        <f t="shared" si="1"/>
        <v>94.5</v>
      </c>
      <c r="E74" s="238">
        <f t="shared" si="2"/>
        <v>0</v>
      </c>
      <c r="F74" s="241">
        <f t="shared" si="4"/>
        <v>0</v>
      </c>
      <c r="G74" s="238">
        <f t="shared" si="5"/>
        <v>0</v>
      </c>
      <c r="H74" s="318">
        <v>0</v>
      </c>
      <c r="I74" s="265">
        <f t="shared" si="3"/>
        <v>0</v>
      </c>
      <c r="J74" s="327"/>
      <c r="K74" s="50"/>
      <c r="Q74" s="2">
        <f t="shared" si="0"/>
        <v>24</v>
      </c>
    </row>
    <row r="75" spans="1:31" ht="20.100000000000001" customHeight="1" x14ac:dyDescent="0.5">
      <c r="A75" s="413"/>
      <c r="B75" s="341">
        <f>+IF($D$5&gt;=26,26,IF($D$5&lt;&gt;26,"0"))</f>
        <v>26</v>
      </c>
      <c r="C75" s="320"/>
      <c r="D75" s="213">
        <f t="shared" si="1"/>
        <v>91</v>
      </c>
      <c r="E75" s="238">
        <f t="shared" si="2"/>
        <v>0</v>
      </c>
      <c r="F75" s="241">
        <f t="shared" si="4"/>
        <v>0</v>
      </c>
      <c r="G75" s="238">
        <f t="shared" si="5"/>
        <v>0</v>
      </c>
      <c r="H75" s="318">
        <v>0</v>
      </c>
      <c r="I75" s="266">
        <f t="shared" si="3"/>
        <v>0</v>
      </c>
      <c r="J75" s="327"/>
      <c r="K75" s="50"/>
      <c r="Q75" s="2">
        <f t="shared" si="0"/>
        <v>25</v>
      </c>
    </row>
    <row r="76" spans="1:31" ht="20.100000000000001" customHeight="1" x14ac:dyDescent="0.5">
      <c r="A76" s="413"/>
      <c r="B76" s="341">
        <f>+IF($D$5&gt;=25,25,IF($D$5&lt;&gt;25,"0"))</f>
        <v>25</v>
      </c>
      <c r="C76" s="320"/>
      <c r="D76" s="213">
        <f t="shared" si="1"/>
        <v>87.5</v>
      </c>
      <c r="E76" s="238">
        <f t="shared" si="2"/>
        <v>0</v>
      </c>
      <c r="F76" s="241">
        <f t="shared" si="4"/>
        <v>0</v>
      </c>
      <c r="G76" s="238">
        <f t="shared" si="5"/>
        <v>0</v>
      </c>
      <c r="H76" s="318">
        <v>0</v>
      </c>
      <c r="I76" s="266">
        <f t="shared" si="3"/>
        <v>0</v>
      </c>
      <c r="J76" s="327"/>
      <c r="K76" s="50"/>
      <c r="Q76" s="2">
        <f t="shared" si="0"/>
        <v>26</v>
      </c>
    </row>
    <row r="77" spans="1:31" ht="20.100000000000001" customHeight="1" x14ac:dyDescent="0.5">
      <c r="A77" s="413"/>
      <c r="B77" s="341">
        <f>+IF($D$5&gt;=24,24,IF($D$5&lt;&gt;24,"0"))</f>
        <v>24</v>
      </c>
      <c r="C77" s="320"/>
      <c r="D77" s="213">
        <f t="shared" si="1"/>
        <v>84</v>
      </c>
      <c r="E77" s="238">
        <f t="shared" si="2"/>
        <v>0</v>
      </c>
      <c r="F77" s="241">
        <f t="shared" si="4"/>
        <v>0</v>
      </c>
      <c r="G77" s="238">
        <f t="shared" si="5"/>
        <v>0</v>
      </c>
      <c r="H77" s="318">
        <v>0</v>
      </c>
      <c r="I77" s="266">
        <f t="shared" si="3"/>
        <v>0</v>
      </c>
      <c r="J77" s="327"/>
      <c r="K77" s="50"/>
      <c r="Q77" s="2">
        <f t="shared" si="0"/>
        <v>27</v>
      </c>
    </row>
    <row r="78" spans="1:31" ht="20.100000000000001" customHeight="1" x14ac:dyDescent="0.5">
      <c r="A78" s="413"/>
      <c r="B78" s="341">
        <f>+IF($D$5&gt;=23,23,IF($D$5&lt;&gt;23,"0"))</f>
        <v>23</v>
      </c>
      <c r="C78" s="320"/>
      <c r="D78" s="213">
        <f t="shared" si="1"/>
        <v>80.5</v>
      </c>
      <c r="E78" s="238">
        <f t="shared" si="2"/>
        <v>0</v>
      </c>
      <c r="F78" s="241">
        <f t="shared" si="4"/>
        <v>0</v>
      </c>
      <c r="G78" s="238">
        <f t="shared" si="5"/>
        <v>0</v>
      </c>
      <c r="H78" s="318">
        <v>0</v>
      </c>
      <c r="I78" s="266">
        <f t="shared" si="3"/>
        <v>0</v>
      </c>
      <c r="J78" s="327"/>
      <c r="K78" s="50"/>
      <c r="Q78" s="2">
        <f t="shared" si="0"/>
        <v>28</v>
      </c>
    </row>
    <row r="79" spans="1:31" ht="20.100000000000001" customHeight="1" x14ac:dyDescent="0.5">
      <c r="A79" s="413"/>
      <c r="B79" s="341">
        <f>+IF($D$5&gt;=22,22,IF($D$5&lt;&gt;22,"0"))</f>
        <v>22</v>
      </c>
      <c r="C79" s="320"/>
      <c r="D79" s="213">
        <f t="shared" si="1"/>
        <v>77</v>
      </c>
      <c r="E79" s="238">
        <f t="shared" si="2"/>
        <v>0</v>
      </c>
      <c r="F79" s="241">
        <f t="shared" si="4"/>
        <v>0</v>
      </c>
      <c r="G79" s="238">
        <f t="shared" si="5"/>
        <v>0</v>
      </c>
      <c r="H79" s="318">
        <v>0</v>
      </c>
      <c r="I79" s="266">
        <f t="shared" si="3"/>
        <v>0</v>
      </c>
      <c r="J79" s="327"/>
      <c r="K79" s="50"/>
      <c r="Q79" s="2">
        <f t="shared" si="0"/>
        <v>29</v>
      </c>
    </row>
    <row r="80" spans="1:31" ht="20.100000000000001" customHeight="1" x14ac:dyDescent="0.5">
      <c r="A80" s="413"/>
      <c r="B80" s="341">
        <f>+IF($D$5&gt;=21,21,IF($D$5&lt;&gt;21,"0"))</f>
        <v>21</v>
      </c>
      <c r="C80" s="320"/>
      <c r="D80" s="213">
        <f t="shared" si="1"/>
        <v>73.5</v>
      </c>
      <c r="E80" s="238">
        <f t="shared" si="2"/>
        <v>0</v>
      </c>
      <c r="F80" s="241">
        <f t="shared" si="4"/>
        <v>0</v>
      </c>
      <c r="G80" s="238">
        <f t="shared" si="5"/>
        <v>0</v>
      </c>
      <c r="H80" s="318">
        <v>0</v>
      </c>
      <c r="I80" s="266">
        <f t="shared" si="3"/>
        <v>0</v>
      </c>
      <c r="J80" s="327"/>
      <c r="K80" s="50"/>
      <c r="Q80" s="2">
        <f t="shared" si="0"/>
        <v>30</v>
      </c>
    </row>
    <row r="81" spans="1:17" ht="20.100000000000001" customHeight="1" x14ac:dyDescent="0.5">
      <c r="A81" s="413"/>
      <c r="B81" s="341">
        <f>+IF($D$5&gt;=20,20,IF($D$5&lt;&gt;20,"0"))</f>
        <v>20</v>
      </c>
      <c r="C81" s="320"/>
      <c r="D81" s="213">
        <f t="shared" si="1"/>
        <v>70</v>
      </c>
      <c r="E81" s="238">
        <f t="shared" si="2"/>
        <v>0</v>
      </c>
      <c r="F81" s="241">
        <f t="shared" si="4"/>
        <v>0</v>
      </c>
      <c r="G81" s="238">
        <f t="shared" si="5"/>
        <v>0</v>
      </c>
      <c r="H81" s="318">
        <v>0</v>
      </c>
      <c r="I81" s="265">
        <f t="shared" si="3"/>
        <v>0</v>
      </c>
      <c r="J81" s="327"/>
      <c r="K81" s="50"/>
      <c r="Q81" s="2">
        <f t="shared" si="0"/>
        <v>31</v>
      </c>
    </row>
    <row r="82" spans="1:17" ht="20.100000000000001" customHeight="1" x14ac:dyDescent="0.5">
      <c r="A82" s="413"/>
      <c r="B82" s="341">
        <f>+IF($D$5&gt;=19,19,IF($D$5&lt;&gt;19,"0"))</f>
        <v>19</v>
      </c>
      <c r="C82" s="320"/>
      <c r="D82" s="213">
        <f t="shared" si="1"/>
        <v>66.5</v>
      </c>
      <c r="E82" s="238">
        <f t="shared" si="2"/>
        <v>0</v>
      </c>
      <c r="F82" s="241">
        <f t="shared" si="4"/>
        <v>0</v>
      </c>
      <c r="G82" s="238">
        <f t="shared" si="5"/>
        <v>0</v>
      </c>
      <c r="H82" s="318">
        <v>0</v>
      </c>
      <c r="I82" s="266">
        <f t="shared" si="3"/>
        <v>0</v>
      </c>
      <c r="J82" s="327"/>
      <c r="K82" s="50"/>
      <c r="Q82" s="2">
        <f t="shared" si="0"/>
        <v>32</v>
      </c>
    </row>
    <row r="83" spans="1:17" ht="20.100000000000001" customHeight="1" x14ac:dyDescent="0.5">
      <c r="A83" s="413"/>
      <c r="B83" s="341">
        <f>+IF($D$5&gt;=18,18,IF($D$5&lt;&gt;18,"0"))</f>
        <v>18</v>
      </c>
      <c r="C83" s="320">
        <f t="shared" ref="C83:C88" si="6">+$D$15</f>
        <v>2338.6</v>
      </c>
      <c r="D83" s="213">
        <f t="shared" si="1"/>
        <v>63</v>
      </c>
      <c r="E83" s="238">
        <f t="shared" si="2"/>
        <v>147331.79999999999</v>
      </c>
      <c r="F83" s="241">
        <f t="shared" si="4"/>
        <v>315.09557894736838</v>
      </c>
      <c r="G83" s="238">
        <f t="shared" si="5"/>
        <v>315.09557894736838</v>
      </c>
      <c r="H83" s="318">
        <v>1</v>
      </c>
      <c r="I83" s="266">
        <f t="shared" si="3"/>
        <v>0</v>
      </c>
      <c r="J83" s="327"/>
      <c r="K83" s="50"/>
      <c r="Q83" s="2">
        <f t="shared" si="0"/>
        <v>33</v>
      </c>
    </row>
    <row r="84" spans="1:17" ht="20.100000000000001" customHeight="1" x14ac:dyDescent="0.5">
      <c r="A84" s="413"/>
      <c r="B84" s="341">
        <f>+IF($D$5&gt;=17,17,IF($D$5&lt;&gt;17,"0"))</f>
        <v>17</v>
      </c>
      <c r="C84" s="320">
        <f t="shared" si="6"/>
        <v>2338.6</v>
      </c>
      <c r="D84" s="213">
        <f t="shared" si="1"/>
        <v>59.5</v>
      </c>
      <c r="E84" s="238">
        <f t="shared" si="2"/>
        <v>139146.69999999998</v>
      </c>
      <c r="F84" s="241">
        <f t="shared" si="4"/>
        <v>297.59026900584786</v>
      </c>
      <c r="G84" s="238">
        <f t="shared" si="5"/>
        <v>612.68584795321624</v>
      </c>
      <c r="H84" s="318">
        <v>1</v>
      </c>
      <c r="I84" s="266">
        <f t="shared" si="3"/>
        <v>1102.83</v>
      </c>
      <c r="J84" s="327"/>
      <c r="K84" s="50"/>
      <c r="Q84" s="2">
        <f t="shared" si="0"/>
        <v>34</v>
      </c>
    </row>
    <row r="85" spans="1:17" ht="20.100000000000001" customHeight="1" x14ac:dyDescent="0.5">
      <c r="A85" s="413"/>
      <c r="B85" s="341">
        <f>+IF($D$5&gt;=16,16,IF($D$5&lt;&gt;16,"0"))</f>
        <v>16</v>
      </c>
      <c r="C85" s="320">
        <f t="shared" si="6"/>
        <v>2338.6</v>
      </c>
      <c r="D85" s="213">
        <f t="shared" si="1"/>
        <v>56</v>
      </c>
      <c r="E85" s="238">
        <f t="shared" si="2"/>
        <v>130961.59999999999</v>
      </c>
      <c r="F85" s="241">
        <f t="shared" si="4"/>
        <v>280.08495906432745</v>
      </c>
      <c r="G85" s="238">
        <f t="shared" si="5"/>
        <v>892.77080701754369</v>
      </c>
      <c r="H85" s="318">
        <v>1</v>
      </c>
      <c r="I85" s="266">
        <f t="shared" si="3"/>
        <v>3247.23</v>
      </c>
      <c r="J85" s="327"/>
      <c r="K85" s="50"/>
      <c r="Q85" s="2">
        <f t="shared" si="0"/>
        <v>35</v>
      </c>
    </row>
    <row r="86" spans="1:17" ht="20.100000000000001" customHeight="1" x14ac:dyDescent="0.5">
      <c r="A86" s="413"/>
      <c r="B86" s="341">
        <f>+IF($D$5&gt;=15,15,IF($D$5&lt;&gt;15,"0"))</f>
        <v>15</v>
      </c>
      <c r="C86" s="320">
        <f t="shared" si="6"/>
        <v>2338.6</v>
      </c>
      <c r="D86" s="213">
        <f t="shared" si="1"/>
        <v>52.5</v>
      </c>
      <c r="E86" s="238">
        <f t="shared" si="2"/>
        <v>122776.5</v>
      </c>
      <c r="F86" s="241">
        <f t="shared" si="4"/>
        <v>262.57964912280698</v>
      </c>
      <c r="G86" s="238">
        <f t="shared" si="5"/>
        <v>1155.3504561403506</v>
      </c>
      <c r="H86" s="318">
        <v>1</v>
      </c>
      <c r="I86" s="266">
        <f t="shared" si="3"/>
        <v>6371.93</v>
      </c>
      <c r="J86" s="327"/>
      <c r="K86" s="50"/>
      <c r="Q86" s="2">
        <f t="shared" si="0"/>
        <v>36</v>
      </c>
    </row>
    <row r="87" spans="1:17" ht="20.100000000000001" customHeight="1" x14ac:dyDescent="0.5">
      <c r="A87" s="413"/>
      <c r="B87" s="341">
        <f>+IF($D$5&gt;=14,14,IF($D$5&lt;&gt;14,"0"))</f>
        <v>14</v>
      </c>
      <c r="C87" s="320">
        <f t="shared" si="6"/>
        <v>2338.6</v>
      </c>
      <c r="D87" s="213">
        <f t="shared" si="1"/>
        <v>49</v>
      </c>
      <c r="E87" s="238">
        <f t="shared" si="2"/>
        <v>114591.4</v>
      </c>
      <c r="F87" s="241">
        <f t="shared" si="4"/>
        <v>245.07433918128652</v>
      </c>
      <c r="G87" s="238">
        <f t="shared" si="5"/>
        <v>1400.4247953216372</v>
      </c>
      <c r="H87" s="318">
        <v>1</v>
      </c>
      <c r="I87" s="266">
        <f t="shared" si="3"/>
        <v>10415.66</v>
      </c>
      <c r="J87" s="327"/>
      <c r="K87" s="50"/>
      <c r="Q87" s="2">
        <f t="shared" si="0"/>
        <v>37</v>
      </c>
    </row>
    <row r="88" spans="1:17" ht="20.100000000000001" customHeight="1" x14ac:dyDescent="0.5">
      <c r="A88" s="413"/>
      <c r="B88" s="341">
        <f>+IF($D$5&gt;=13,13,IF($D$5&lt;&gt;13,"0"))</f>
        <v>13</v>
      </c>
      <c r="C88" s="320">
        <f t="shared" si="6"/>
        <v>2338.6</v>
      </c>
      <c r="D88" s="213">
        <f t="shared" si="1"/>
        <v>45.5</v>
      </c>
      <c r="E88" s="238">
        <f t="shared" si="2"/>
        <v>106406.3</v>
      </c>
      <c r="F88" s="241">
        <f t="shared" si="4"/>
        <v>227.56902923976608</v>
      </c>
      <c r="G88" s="238">
        <f t="shared" si="5"/>
        <v>1627.9938245614032</v>
      </c>
      <c r="H88" s="318">
        <v>1</v>
      </c>
      <c r="I88" s="266">
        <f t="shared" si="3"/>
        <v>15317.15</v>
      </c>
      <c r="J88" s="327"/>
      <c r="K88" s="50"/>
      <c r="Q88" s="2">
        <f t="shared" si="0"/>
        <v>38</v>
      </c>
    </row>
    <row r="89" spans="1:17" ht="20.100000000000001" customHeight="1" x14ac:dyDescent="0.5">
      <c r="A89" s="413"/>
      <c r="B89" s="341">
        <f>+IF($D$5&gt;=12,12,IF($D$5&lt;&gt;11,"0"))</f>
        <v>12</v>
      </c>
      <c r="C89" s="320">
        <f t="shared" ref="C89:C100" si="7">+$D$15</f>
        <v>2338.6</v>
      </c>
      <c r="D89" s="213">
        <f t="shared" si="1"/>
        <v>42</v>
      </c>
      <c r="E89" s="238">
        <f>+D89*C89</f>
        <v>98221.2</v>
      </c>
      <c r="F89" s="241">
        <f t="shared" si="4"/>
        <v>210.06371929824556</v>
      </c>
      <c r="G89" s="238">
        <f>+G88+F89</f>
        <v>1838.0575438596488</v>
      </c>
      <c r="H89" s="318">
        <v>1</v>
      </c>
      <c r="I89" s="266">
        <f t="shared" si="3"/>
        <v>21015.13</v>
      </c>
      <c r="J89" s="327"/>
      <c r="K89" s="50"/>
      <c r="Q89" s="2">
        <f t="shared" si="0"/>
        <v>39</v>
      </c>
    </row>
    <row r="90" spans="1:17" ht="20.100000000000001" customHeight="1" x14ac:dyDescent="0.5">
      <c r="A90" s="413"/>
      <c r="B90" s="341">
        <f>+IF($D$5&gt;=11,11,IF($D$5&lt;&gt;11,"0"))</f>
        <v>11</v>
      </c>
      <c r="C90" s="320">
        <f t="shared" si="7"/>
        <v>2338.6</v>
      </c>
      <c r="D90" s="213">
        <f t="shared" si="1"/>
        <v>38.5</v>
      </c>
      <c r="E90" s="238">
        <f t="shared" si="2"/>
        <v>90036.099999999991</v>
      </c>
      <c r="F90" s="241">
        <f t="shared" si="4"/>
        <v>192.55840935672509</v>
      </c>
      <c r="G90" s="238">
        <f t="shared" si="5"/>
        <v>2030.615953216374</v>
      </c>
      <c r="H90" s="318">
        <v>1</v>
      </c>
      <c r="I90" s="266">
        <f t="shared" si="3"/>
        <v>27448.33</v>
      </c>
      <c r="J90" s="327"/>
      <c r="K90" s="50"/>
      <c r="Q90" s="2">
        <f t="shared" si="0"/>
        <v>40</v>
      </c>
    </row>
    <row r="91" spans="1:17" ht="20.100000000000001" customHeight="1" x14ac:dyDescent="0.5">
      <c r="A91" s="413"/>
      <c r="B91" s="341">
        <f>+IF($D$5&gt;=10,10,IF($D$5&lt;&gt;10,"0"))</f>
        <v>10</v>
      </c>
      <c r="C91" s="320">
        <f t="shared" si="7"/>
        <v>2338.6</v>
      </c>
      <c r="D91" s="213">
        <f t="shared" si="1"/>
        <v>35</v>
      </c>
      <c r="E91" s="238">
        <f t="shared" si="2"/>
        <v>81851</v>
      </c>
      <c r="F91" s="241">
        <f t="shared" si="4"/>
        <v>175.05309941520466</v>
      </c>
      <c r="G91" s="238">
        <f t="shared" si="5"/>
        <v>2205.6690526315788</v>
      </c>
      <c r="H91" s="318">
        <v>1</v>
      </c>
      <c r="I91" s="266">
        <f t="shared" ref="I91:I98" si="8">+ROUND(IF(H90=0,0,IF(H90=1,(G90*($H$4)+I90))),2)</f>
        <v>34555.49</v>
      </c>
      <c r="J91" s="327"/>
      <c r="K91" s="50"/>
      <c r="L91" s="2"/>
      <c r="Q91" s="2"/>
    </row>
    <row r="92" spans="1:17" ht="20.100000000000001" customHeight="1" x14ac:dyDescent="0.5">
      <c r="A92" s="413"/>
      <c r="B92" s="341">
        <f>+IF($D$5&gt;=9,9,IF($D$5&lt;&gt;9,"0"))</f>
        <v>9</v>
      </c>
      <c r="C92" s="320">
        <f t="shared" si="7"/>
        <v>2338.6</v>
      </c>
      <c r="D92" s="213">
        <f t="shared" si="1"/>
        <v>31.5</v>
      </c>
      <c r="E92" s="238">
        <f t="shared" si="2"/>
        <v>73665.899999999994</v>
      </c>
      <c r="F92" s="241">
        <f t="shared" si="4"/>
        <v>157.54778947368419</v>
      </c>
      <c r="G92" s="238">
        <f t="shared" si="5"/>
        <v>2363.2168421052629</v>
      </c>
      <c r="H92" s="318">
        <v>1</v>
      </c>
      <c r="I92" s="266">
        <f t="shared" si="8"/>
        <v>42275.33</v>
      </c>
      <c r="J92" s="327"/>
      <c r="K92" s="50"/>
      <c r="L92" s="2"/>
      <c r="Q92" s="2"/>
    </row>
    <row r="93" spans="1:17" ht="20.100000000000001" customHeight="1" x14ac:dyDescent="0.5">
      <c r="A93" s="413"/>
      <c r="B93" s="341">
        <f>+IF($D$5&gt;=8,8,IF($D$5&lt;&gt;8,"0"))</f>
        <v>8</v>
      </c>
      <c r="C93" s="320">
        <f t="shared" si="7"/>
        <v>2338.6</v>
      </c>
      <c r="D93" s="213">
        <f t="shared" si="1"/>
        <v>28</v>
      </c>
      <c r="E93" s="238">
        <f t="shared" si="2"/>
        <v>65480.799999999996</v>
      </c>
      <c r="F93" s="241">
        <f t="shared" si="4"/>
        <v>140.04247953216372</v>
      </c>
      <c r="G93" s="238">
        <f t="shared" si="5"/>
        <v>2503.2593216374266</v>
      </c>
      <c r="H93" s="318">
        <v>1</v>
      </c>
      <c r="I93" s="266">
        <f t="shared" si="8"/>
        <v>50546.59</v>
      </c>
      <c r="J93" s="327"/>
      <c r="K93" s="50"/>
      <c r="L93" s="2"/>
      <c r="Q93" s="2"/>
    </row>
    <row r="94" spans="1:17" ht="20.100000000000001" customHeight="1" x14ac:dyDescent="0.5">
      <c r="A94" s="413"/>
      <c r="B94" s="341">
        <f>+IF($D$5&gt;=7,7,IF($D$5&lt;&gt;7,"0"))</f>
        <v>7</v>
      </c>
      <c r="C94" s="320">
        <f t="shared" si="7"/>
        <v>2338.6</v>
      </c>
      <c r="D94" s="213">
        <f t="shared" si="1"/>
        <v>24.5</v>
      </c>
      <c r="E94" s="238">
        <f t="shared" si="2"/>
        <v>57295.7</v>
      </c>
      <c r="F94" s="241">
        <f t="shared" si="4"/>
        <v>122.53716959064326</v>
      </c>
      <c r="G94" s="238">
        <f t="shared" si="5"/>
        <v>2625.79649122807</v>
      </c>
      <c r="H94" s="318">
        <v>1</v>
      </c>
      <c r="I94" s="266">
        <f t="shared" si="8"/>
        <v>59308</v>
      </c>
      <c r="J94" s="327"/>
      <c r="K94" s="50"/>
      <c r="Q94" s="2"/>
    </row>
    <row r="95" spans="1:17" ht="20.100000000000001" customHeight="1" x14ac:dyDescent="0.5">
      <c r="A95" s="413"/>
      <c r="B95" s="341">
        <f>+IF($D$5&gt;=6,6,IF($D$5&lt;&gt;6,"0"))</f>
        <v>6</v>
      </c>
      <c r="C95" s="320">
        <f t="shared" si="7"/>
        <v>2338.6</v>
      </c>
      <c r="D95" s="213">
        <f t="shared" si="1"/>
        <v>21</v>
      </c>
      <c r="E95" s="238">
        <f t="shared" si="2"/>
        <v>49110.6</v>
      </c>
      <c r="F95" s="241">
        <f t="shared" si="4"/>
        <v>105.03185964912278</v>
      </c>
      <c r="G95" s="238">
        <f t="shared" si="5"/>
        <v>2730.8283508771929</v>
      </c>
      <c r="H95" s="318">
        <v>1</v>
      </c>
      <c r="I95" s="266">
        <f t="shared" si="8"/>
        <v>68498.289999999994</v>
      </c>
      <c r="J95" s="327"/>
      <c r="K95" s="50"/>
    </row>
    <row r="96" spans="1:17" ht="20.100000000000001" customHeight="1" x14ac:dyDescent="0.5">
      <c r="A96" s="413"/>
      <c r="B96" s="341">
        <f>+IF($D$5&gt;=5,5,IF($D$5&lt;&gt;5,"0"))</f>
        <v>5</v>
      </c>
      <c r="C96" s="320">
        <f t="shared" si="7"/>
        <v>2338.6</v>
      </c>
      <c r="D96" s="213">
        <f t="shared" si="1"/>
        <v>17.5</v>
      </c>
      <c r="E96" s="238">
        <f t="shared" si="2"/>
        <v>40925.5</v>
      </c>
      <c r="F96" s="241">
        <f t="shared" si="4"/>
        <v>87.526549707602328</v>
      </c>
      <c r="G96" s="238">
        <f t="shared" si="5"/>
        <v>2818.3549005847954</v>
      </c>
      <c r="H96" s="318">
        <v>1</v>
      </c>
      <c r="I96" s="266">
        <f t="shared" si="8"/>
        <v>78056.19</v>
      </c>
      <c r="J96" s="327"/>
      <c r="K96" s="50"/>
    </row>
    <row r="97" spans="1:11" ht="20.100000000000001" customHeight="1" x14ac:dyDescent="0.5">
      <c r="A97" s="413"/>
      <c r="B97" s="341">
        <f>+IF($D$5&gt;=4,4,IF($D$5&lt;&gt;4,"0"))</f>
        <v>4</v>
      </c>
      <c r="C97" s="320">
        <f t="shared" si="7"/>
        <v>2338.6</v>
      </c>
      <c r="D97" s="213">
        <f t="shared" si="1"/>
        <v>14</v>
      </c>
      <c r="E97" s="238">
        <f t="shared" si="2"/>
        <v>32740.399999999998</v>
      </c>
      <c r="F97" s="241">
        <f t="shared" si="4"/>
        <v>70.021239766081862</v>
      </c>
      <c r="G97" s="238">
        <f t="shared" si="5"/>
        <v>2888.376140350877</v>
      </c>
      <c r="H97" s="318">
        <v>1</v>
      </c>
      <c r="I97" s="266">
        <f t="shared" si="8"/>
        <v>87920.43</v>
      </c>
      <c r="J97" s="327"/>
      <c r="K97" s="50"/>
    </row>
    <row r="98" spans="1:11" ht="20.100000000000001" customHeight="1" x14ac:dyDescent="0.5">
      <c r="A98" s="413"/>
      <c r="B98" s="341">
        <f>+IF($D$5&gt;=3,3,IF($D$5&lt;&gt;3,"0"))</f>
        <v>3</v>
      </c>
      <c r="C98" s="320">
        <f t="shared" si="7"/>
        <v>2338.6</v>
      </c>
      <c r="D98" s="213">
        <f t="shared" si="1"/>
        <v>10.5</v>
      </c>
      <c r="E98" s="238">
        <f t="shared" si="2"/>
        <v>24555.3</v>
      </c>
      <c r="F98" s="241">
        <f t="shared" si="4"/>
        <v>52.51592982456139</v>
      </c>
      <c r="G98" s="238">
        <f t="shared" si="5"/>
        <v>2940.8920701754382</v>
      </c>
      <c r="H98" s="318">
        <v>1</v>
      </c>
      <c r="I98" s="266">
        <f t="shared" si="8"/>
        <v>98029.75</v>
      </c>
      <c r="J98" s="327"/>
      <c r="K98" s="50"/>
    </row>
    <row r="99" spans="1:11" ht="20.100000000000001" customHeight="1" x14ac:dyDescent="0.5">
      <c r="A99" s="413"/>
      <c r="B99" s="341">
        <f>+IF($D$5&gt;=2,2,IF($D$5&lt;&gt;2,"0"))</f>
        <v>2</v>
      </c>
      <c r="C99" s="320">
        <f t="shared" si="7"/>
        <v>2338.6</v>
      </c>
      <c r="D99" s="213">
        <f t="shared" si="1"/>
        <v>7</v>
      </c>
      <c r="E99" s="238">
        <f t="shared" si="2"/>
        <v>16370.199999999999</v>
      </c>
      <c r="F99" s="241">
        <f t="shared" si="4"/>
        <v>35.010619883040931</v>
      </c>
      <c r="G99" s="238">
        <f t="shared" si="5"/>
        <v>2975.902690058479</v>
      </c>
      <c r="H99" s="318">
        <v>1</v>
      </c>
      <c r="I99" s="266">
        <f>+ROUND(IF(H98=0,0,IF(H98=1,(G98*($H$4)+I98))),2)</f>
        <v>108322.87</v>
      </c>
      <c r="J99" s="327"/>
      <c r="K99" s="50"/>
    </row>
    <row r="100" spans="1:11" ht="20.100000000000001" customHeight="1" x14ac:dyDescent="0.5">
      <c r="A100" s="413"/>
      <c r="B100" s="341">
        <f>+IF(D5=1,1,IF(D5&gt;1,1))</f>
        <v>1</v>
      </c>
      <c r="C100" s="321">
        <f t="shared" si="7"/>
        <v>2338.6</v>
      </c>
      <c r="D100" s="213">
        <f>$H$4*B100</f>
        <v>3.5</v>
      </c>
      <c r="E100" s="238">
        <f>+D100*C100</f>
        <v>8185.0999999999995</v>
      </c>
      <c r="F100" s="241">
        <f t="shared" si="4"/>
        <v>17.505309941520466</v>
      </c>
      <c r="G100" s="238">
        <f t="shared" si="5"/>
        <v>2993.4079999999994</v>
      </c>
      <c r="H100" s="318">
        <v>1</v>
      </c>
      <c r="I100" s="266">
        <f>+ROUND(IF(H99=0,0,IF(H99=1,(G99*($H$4)+I99))),2)</f>
        <v>118738.53</v>
      </c>
      <c r="J100" s="327"/>
      <c r="K100" s="50"/>
    </row>
    <row r="101" spans="1:11" ht="20.100000000000001" customHeight="1" x14ac:dyDescent="0.5">
      <c r="A101" s="413"/>
      <c r="B101" s="294" t="s">
        <v>312</v>
      </c>
      <c r="C101" s="239">
        <f>SUM(C61:C100)</f>
        <v>42094.799999999988</v>
      </c>
      <c r="D101" s="237"/>
      <c r="E101" s="240">
        <f>SUM(E61:E100)</f>
        <v>1399652.1</v>
      </c>
      <c r="F101" s="242"/>
      <c r="G101" s="240"/>
      <c r="H101" s="318">
        <v>1</v>
      </c>
      <c r="I101" s="266">
        <f>+ROUND(IF(H100=0,0,IF(H100=1,(G100*($H$4)+I100))),2)</f>
        <v>129215.46</v>
      </c>
      <c r="J101" s="327"/>
      <c r="K101" s="50"/>
    </row>
    <row r="102" spans="1:11" x14ac:dyDescent="0.5">
      <c r="A102" s="413"/>
      <c r="B102" s="11"/>
      <c r="C102" s="328" t="str">
        <f>+IF(C101=H15,"KO","NO")&amp;"เท่ากับน้ำหนักอาคารทั้งหมด"</f>
        <v>NOเท่ากับน้ำหนักอาคารทั้งหมด</v>
      </c>
      <c r="D102" s="11"/>
      <c r="E102" s="11"/>
      <c r="F102" s="11"/>
      <c r="G102" s="251" t="str">
        <f>+IF(G100=D43,"OK = V แรงเฉือนที่ฐาน","NO")</f>
        <v>OK = V แรงเฉือนที่ฐาน</v>
      </c>
      <c r="H102" s="11"/>
      <c r="I102" s="11"/>
      <c r="J102" s="11"/>
      <c r="K102" s="50"/>
    </row>
    <row r="103" spans="1:11" ht="26.25" x14ac:dyDescent="0.55000000000000004">
      <c r="A103" s="413"/>
      <c r="B103" s="11"/>
      <c r="C103" s="11"/>
      <c r="D103" s="11"/>
      <c r="E103" s="11"/>
      <c r="F103" s="11"/>
      <c r="G103" s="63" t="s">
        <v>113</v>
      </c>
      <c r="H103" s="62">
        <f>ROUND(H44/I101,3)</f>
        <v>14.478999999999999</v>
      </c>
      <c r="I103" s="62" t="str">
        <f>+IF(H103&lt;1.5,"NO","OK")&amp;"&gt;1.5"</f>
        <v>OK&gt;1.5</v>
      </c>
      <c r="J103" s="11"/>
      <c r="K103" s="50"/>
    </row>
    <row r="104" spans="1:11" x14ac:dyDescent="0.5">
      <c r="A104" s="413"/>
      <c r="B104" s="11"/>
      <c r="C104" s="11"/>
      <c r="D104" s="11"/>
      <c r="E104" s="11"/>
      <c r="F104" s="11"/>
      <c r="G104" s="11"/>
      <c r="H104" s="11"/>
      <c r="I104" s="11"/>
      <c r="J104" s="11"/>
      <c r="K104" s="50"/>
    </row>
    <row r="105" spans="1:11" x14ac:dyDescent="0.5">
      <c r="A105" s="413"/>
      <c r="B105" s="11"/>
      <c r="C105" s="11"/>
      <c r="D105" s="11"/>
      <c r="E105" s="11"/>
      <c r="F105" s="11"/>
      <c r="G105" s="11"/>
      <c r="H105" s="11"/>
      <c r="I105" s="11"/>
      <c r="J105" s="11"/>
      <c r="K105" s="50"/>
    </row>
    <row r="106" spans="1:11" x14ac:dyDescent="0.5">
      <c r="A106" s="413"/>
      <c r="B106" s="11"/>
      <c r="C106" s="11"/>
      <c r="D106" s="11"/>
      <c r="E106" s="11"/>
      <c r="F106" s="11"/>
      <c r="G106" s="11"/>
      <c r="H106" s="11"/>
      <c r="I106" s="11"/>
      <c r="J106" s="11"/>
      <c r="K106" s="50"/>
    </row>
    <row r="107" spans="1:11" x14ac:dyDescent="0.5">
      <c r="A107" s="413"/>
      <c r="B107" s="11"/>
      <c r="C107" s="11"/>
      <c r="D107" s="11"/>
      <c r="E107" s="11"/>
      <c r="F107" s="11"/>
      <c r="G107" s="11"/>
      <c r="H107" s="11"/>
      <c r="I107" s="11"/>
      <c r="J107" s="11"/>
      <c r="K107" s="50"/>
    </row>
    <row r="108" spans="1:11" x14ac:dyDescent="0.5">
      <c r="A108" s="413"/>
      <c r="B108" s="11"/>
      <c r="C108" s="11"/>
      <c r="D108" s="11"/>
      <c r="E108" s="11"/>
      <c r="F108" s="11"/>
      <c r="G108" s="11"/>
      <c r="H108" s="11"/>
      <c r="I108" s="11"/>
      <c r="J108" s="11"/>
      <c r="K108" s="50"/>
    </row>
    <row r="109" spans="1:11" x14ac:dyDescent="0.5">
      <c r="A109" s="413"/>
      <c r="B109" s="11"/>
      <c r="C109" s="11"/>
      <c r="D109" s="11"/>
      <c r="E109" s="11"/>
      <c r="F109" s="11"/>
      <c r="G109" s="11"/>
      <c r="H109" s="11"/>
      <c r="I109" s="11"/>
      <c r="J109" s="11"/>
      <c r="K109" s="50"/>
    </row>
    <row r="110" spans="1:11" x14ac:dyDescent="0.5">
      <c r="A110" s="413"/>
      <c r="B110" s="11"/>
      <c r="C110" s="11"/>
      <c r="D110" s="11"/>
      <c r="E110" s="11"/>
      <c r="F110" s="11"/>
      <c r="G110" s="11"/>
      <c r="H110" s="11"/>
      <c r="I110" s="11"/>
      <c r="J110" s="11"/>
      <c r="K110" s="50"/>
    </row>
    <row r="111" spans="1:11" x14ac:dyDescent="0.5">
      <c r="A111" s="413"/>
      <c r="B111" s="11"/>
      <c r="C111" s="11"/>
      <c r="D111" s="11"/>
      <c r="E111" s="11"/>
      <c r="F111" s="11"/>
      <c r="G111" s="11"/>
      <c r="H111" s="11"/>
      <c r="I111" s="11"/>
      <c r="J111" s="11"/>
      <c r="K111" s="50"/>
    </row>
    <row r="112" spans="1:11" x14ac:dyDescent="0.5">
      <c r="A112" s="413"/>
      <c r="B112" s="11"/>
      <c r="C112" s="11"/>
      <c r="D112" s="11"/>
      <c r="E112" s="11"/>
      <c r="F112" s="11"/>
      <c r="G112" s="11"/>
      <c r="H112" s="11"/>
      <c r="I112" s="11"/>
      <c r="J112" s="11"/>
      <c r="K112" s="50"/>
    </row>
    <row r="113" spans="1:11" x14ac:dyDescent="0.5">
      <c r="A113" s="413"/>
      <c r="B113" s="11"/>
      <c r="C113" s="11"/>
      <c r="D113" s="11"/>
      <c r="E113" s="11"/>
      <c r="F113" s="11"/>
      <c r="G113" s="11"/>
      <c r="H113" s="11"/>
      <c r="I113" s="11"/>
      <c r="J113" s="11"/>
      <c r="K113" s="50"/>
    </row>
    <row r="114" spans="1:11" x14ac:dyDescent="0.5">
      <c r="A114" s="414"/>
      <c r="B114" s="11"/>
      <c r="C114" s="11"/>
      <c r="D114" s="11"/>
      <c r="E114" s="11"/>
      <c r="F114" s="11"/>
      <c r="G114" s="11"/>
      <c r="H114" s="11"/>
      <c r="I114" s="11"/>
      <c r="J114" s="11"/>
      <c r="K114" s="50"/>
    </row>
    <row r="115" spans="1:11" x14ac:dyDescent="0.5">
      <c r="A115" s="374" t="s">
        <v>345</v>
      </c>
      <c r="B115" s="375"/>
      <c r="C115" s="375"/>
      <c r="D115" s="375"/>
      <c r="E115" s="375"/>
      <c r="F115" s="375"/>
      <c r="G115" s="375"/>
      <c r="H115" s="375"/>
      <c r="I115" s="375"/>
      <c r="J115" s="375"/>
      <c r="K115" s="376"/>
    </row>
    <row r="116" spans="1:11" x14ac:dyDescent="0.5">
      <c r="A116" s="377"/>
      <c r="B116" s="378"/>
      <c r="C116" s="378"/>
      <c r="D116" s="378"/>
      <c r="E116" s="378"/>
      <c r="F116" s="378"/>
      <c r="G116" s="378"/>
      <c r="H116" s="378"/>
      <c r="I116" s="378"/>
      <c r="J116" s="378"/>
      <c r="K116" s="379"/>
    </row>
    <row r="117" spans="1:11" x14ac:dyDescent="0.5">
      <c r="A117" s="380" t="s">
        <v>349</v>
      </c>
      <c r="B117" s="64"/>
      <c r="C117" s="64"/>
      <c r="D117" s="64"/>
      <c r="E117" s="64"/>
      <c r="F117" s="64"/>
      <c r="G117" s="64"/>
      <c r="H117" s="64"/>
      <c r="I117" s="64"/>
      <c r="J117" s="64"/>
      <c r="K117" s="67"/>
    </row>
    <row r="118" spans="1:11" x14ac:dyDescent="0.5">
      <c r="A118" s="381"/>
      <c r="B118" s="11"/>
      <c r="C118" s="11"/>
      <c r="D118" s="11"/>
      <c r="E118" s="11"/>
      <c r="F118" s="11"/>
      <c r="G118" s="11"/>
      <c r="H118" s="11"/>
      <c r="I118" s="11"/>
      <c r="J118" s="11"/>
      <c r="K118" s="50"/>
    </row>
    <row r="119" spans="1:11" s="2" customFormat="1" ht="36" customHeight="1" thickBot="1" x14ac:dyDescent="0.55000000000000004">
      <c r="A119" s="381"/>
      <c r="B119" s="383" t="s">
        <v>334</v>
      </c>
      <c r="C119" s="383"/>
      <c r="D119" s="383"/>
      <c r="E119" s="383"/>
      <c r="F119" s="383"/>
      <c r="G119" s="383"/>
      <c r="H119" s="11"/>
      <c r="I119" s="11"/>
      <c r="J119" s="11"/>
      <c r="K119" s="50"/>
    </row>
    <row r="120" spans="1:11" ht="26.25" x14ac:dyDescent="0.55000000000000004">
      <c r="A120" s="381"/>
      <c r="B120" s="293" t="s">
        <v>22</v>
      </c>
      <c r="C120" s="257" t="s">
        <v>335</v>
      </c>
      <c r="D120" s="257" t="s">
        <v>337</v>
      </c>
      <c r="E120" s="257" t="s">
        <v>336</v>
      </c>
      <c r="F120" s="111" t="s">
        <v>338</v>
      </c>
      <c r="G120" s="302">
        <f>0.01*($H$4*100)</f>
        <v>3.5</v>
      </c>
      <c r="H120" s="11"/>
      <c r="I120" s="11"/>
      <c r="J120" s="11"/>
      <c r="K120" s="50"/>
    </row>
    <row r="121" spans="1:11" x14ac:dyDescent="0.5">
      <c r="A121" s="381"/>
      <c r="B121" s="300">
        <f t="shared" ref="B121:B159" si="9">+B61</f>
        <v>40</v>
      </c>
      <c r="C121" s="213">
        <f t="shared" ref="C121:C160" si="10">ROUND(G61/($I$50),4)</f>
        <v>0</v>
      </c>
      <c r="D121" s="213">
        <f t="shared" ref="D121:D148" si="11">IF(B121=B122+1,ROUND((C121+D122),3),IF(B121=0,0))</f>
        <v>3.2000000000000001E-2</v>
      </c>
      <c r="E121" s="213">
        <f t="shared" ref="E121:E148" si="12">IF(B121=B122+1,ROUND(+$J$28*(SUM(D121))/($G$26),3),IF(B121=0,0))</f>
        <v>0.14399999999999999</v>
      </c>
      <c r="F121" s="301">
        <f t="shared" ref="F121:F158" si="13">+IF(B121=0,0,IF(B121&gt;0,(E121-E122)))</f>
        <v>0</v>
      </c>
      <c r="G121" s="258" t="str">
        <f t="shared" ref="G121:G159" si="14">+IF(F121&lt;(0.01*($H$4*100)),"OK","NO")</f>
        <v>OK</v>
      </c>
      <c r="H121" s="11"/>
      <c r="I121" s="11"/>
      <c r="J121" s="11"/>
      <c r="K121" s="50"/>
    </row>
    <row r="122" spans="1:11" x14ac:dyDescent="0.5">
      <c r="A122" s="381"/>
      <c r="B122" s="300">
        <f t="shared" si="9"/>
        <v>39</v>
      </c>
      <c r="C122" s="213">
        <f t="shared" si="10"/>
        <v>0</v>
      </c>
      <c r="D122" s="213">
        <f t="shared" si="11"/>
        <v>3.2000000000000001E-2</v>
      </c>
      <c r="E122" s="213">
        <f t="shared" si="12"/>
        <v>0.14399999999999999</v>
      </c>
      <c r="F122" s="301">
        <f t="shared" si="13"/>
        <v>0</v>
      </c>
      <c r="G122" s="258" t="str">
        <f t="shared" si="14"/>
        <v>OK</v>
      </c>
      <c r="H122" s="11"/>
      <c r="I122" s="11"/>
      <c r="J122" s="11"/>
      <c r="K122" s="50"/>
    </row>
    <row r="123" spans="1:11" x14ac:dyDescent="0.5">
      <c r="A123" s="381"/>
      <c r="B123" s="300">
        <f t="shared" si="9"/>
        <v>38</v>
      </c>
      <c r="C123" s="213">
        <f t="shared" si="10"/>
        <v>0</v>
      </c>
      <c r="D123" s="213">
        <f t="shared" si="11"/>
        <v>3.2000000000000001E-2</v>
      </c>
      <c r="E123" s="213">
        <f t="shared" si="12"/>
        <v>0.14399999999999999</v>
      </c>
      <c r="F123" s="301">
        <f t="shared" si="13"/>
        <v>0</v>
      </c>
      <c r="G123" s="258" t="str">
        <f t="shared" si="14"/>
        <v>OK</v>
      </c>
      <c r="H123" s="11"/>
      <c r="I123" s="11"/>
      <c r="J123" s="11"/>
      <c r="K123" s="50"/>
    </row>
    <row r="124" spans="1:11" x14ac:dyDescent="0.5">
      <c r="A124" s="381"/>
      <c r="B124" s="300">
        <f t="shared" si="9"/>
        <v>37</v>
      </c>
      <c r="C124" s="213">
        <f t="shared" si="10"/>
        <v>0</v>
      </c>
      <c r="D124" s="213">
        <f t="shared" si="11"/>
        <v>3.2000000000000001E-2</v>
      </c>
      <c r="E124" s="213">
        <f t="shared" si="12"/>
        <v>0.14399999999999999</v>
      </c>
      <c r="F124" s="301">
        <f t="shared" si="13"/>
        <v>0</v>
      </c>
      <c r="G124" s="258" t="str">
        <f t="shared" si="14"/>
        <v>OK</v>
      </c>
      <c r="H124" s="11"/>
      <c r="I124" s="11"/>
      <c r="J124" s="11"/>
      <c r="K124" s="50"/>
    </row>
    <row r="125" spans="1:11" x14ac:dyDescent="0.5">
      <c r="A125" s="381"/>
      <c r="B125" s="300">
        <f t="shared" si="9"/>
        <v>36</v>
      </c>
      <c r="C125" s="213">
        <f t="shared" si="10"/>
        <v>0</v>
      </c>
      <c r="D125" s="213">
        <f t="shared" si="11"/>
        <v>3.2000000000000001E-2</v>
      </c>
      <c r="E125" s="213">
        <f t="shared" si="12"/>
        <v>0.14399999999999999</v>
      </c>
      <c r="F125" s="301">
        <f t="shared" si="13"/>
        <v>0</v>
      </c>
      <c r="G125" s="258" t="str">
        <f t="shared" si="14"/>
        <v>OK</v>
      </c>
      <c r="H125" s="11"/>
      <c r="I125" s="11"/>
      <c r="J125" s="11"/>
      <c r="K125" s="50"/>
    </row>
    <row r="126" spans="1:11" x14ac:dyDescent="0.5">
      <c r="A126" s="381"/>
      <c r="B126" s="300">
        <f t="shared" si="9"/>
        <v>35</v>
      </c>
      <c r="C126" s="213">
        <f t="shared" si="10"/>
        <v>0</v>
      </c>
      <c r="D126" s="213">
        <f t="shared" si="11"/>
        <v>3.2000000000000001E-2</v>
      </c>
      <c r="E126" s="213">
        <f t="shared" si="12"/>
        <v>0.14399999999999999</v>
      </c>
      <c r="F126" s="301">
        <f t="shared" si="13"/>
        <v>0</v>
      </c>
      <c r="G126" s="258" t="str">
        <f t="shared" si="14"/>
        <v>OK</v>
      </c>
      <c r="H126" s="11"/>
      <c r="I126" s="11"/>
      <c r="J126" s="11"/>
      <c r="K126" s="50"/>
    </row>
    <row r="127" spans="1:11" x14ac:dyDescent="0.5">
      <c r="A127" s="381"/>
      <c r="B127" s="300">
        <f t="shared" si="9"/>
        <v>34</v>
      </c>
      <c r="C127" s="213">
        <f t="shared" si="10"/>
        <v>0</v>
      </c>
      <c r="D127" s="213">
        <f t="shared" si="11"/>
        <v>3.2000000000000001E-2</v>
      </c>
      <c r="E127" s="213">
        <f t="shared" si="12"/>
        <v>0.14399999999999999</v>
      </c>
      <c r="F127" s="301">
        <f t="shared" si="13"/>
        <v>0</v>
      </c>
      <c r="G127" s="258" t="str">
        <f t="shared" si="14"/>
        <v>OK</v>
      </c>
      <c r="H127" s="11"/>
      <c r="I127" s="11"/>
      <c r="J127" s="11"/>
      <c r="K127" s="50"/>
    </row>
    <row r="128" spans="1:11" x14ac:dyDescent="0.5">
      <c r="A128" s="381"/>
      <c r="B128" s="300">
        <f t="shared" si="9"/>
        <v>33</v>
      </c>
      <c r="C128" s="213">
        <f t="shared" si="10"/>
        <v>0</v>
      </c>
      <c r="D128" s="213">
        <f t="shared" si="11"/>
        <v>3.2000000000000001E-2</v>
      </c>
      <c r="E128" s="213">
        <f t="shared" si="12"/>
        <v>0.14399999999999999</v>
      </c>
      <c r="F128" s="301">
        <f t="shared" si="13"/>
        <v>0</v>
      </c>
      <c r="G128" s="258" t="str">
        <f t="shared" si="14"/>
        <v>OK</v>
      </c>
      <c r="H128" s="11"/>
      <c r="I128" s="11"/>
      <c r="J128" s="11"/>
      <c r="K128" s="50"/>
    </row>
    <row r="129" spans="1:11" x14ac:dyDescent="0.5">
      <c r="A129" s="381"/>
      <c r="B129" s="300">
        <f t="shared" si="9"/>
        <v>32</v>
      </c>
      <c r="C129" s="213">
        <f t="shared" si="10"/>
        <v>0</v>
      </c>
      <c r="D129" s="213">
        <f t="shared" si="11"/>
        <v>3.2000000000000001E-2</v>
      </c>
      <c r="E129" s="213">
        <f t="shared" si="12"/>
        <v>0.14399999999999999</v>
      </c>
      <c r="F129" s="301">
        <f t="shared" si="13"/>
        <v>0</v>
      </c>
      <c r="G129" s="258" t="str">
        <f t="shared" si="14"/>
        <v>OK</v>
      </c>
      <c r="H129" s="11"/>
      <c r="I129" s="11"/>
      <c r="J129" s="11"/>
      <c r="K129" s="50"/>
    </row>
    <row r="130" spans="1:11" x14ac:dyDescent="0.5">
      <c r="A130" s="381"/>
      <c r="B130" s="300">
        <f t="shared" si="9"/>
        <v>31</v>
      </c>
      <c r="C130" s="213">
        <f t="shared" si="10"/>
        <v>0</v>
      </c>
      <c r="D130" s="213">
        <f t="shared" si="11"/>
        <v>3.2000000000000001E-2</v>
      </c>
      <c r="E130" s="213">
        <f t="shared" si="12"/>
        <v>0.14399999999999999</v>
      </c>
      <c r="F130" s="301">
        <f t="shared" si="13"/>
        <v>0</v>
      </c>
      <c r="G130" s="258" t="str">
        <f t="shared" si="14"/>
        <v>OK</v>
      </c>
      <c r="H130" s="11"/>
      <c r="I130" s="11"/>
      <c r="J130" s="11"/>
      <c r="K130" s="50"/>
    </row>
    <row r="131" spans="1:11" x14ac:dyDescent="0.5">
      <c r="A131" s="381"/>
      <c r="B131" s="300">
        <f t="shared" si="9"/>
        <v>30</v>
      </c>
      <c r="C131" s="213">
        <f t="shared" si="10"/>
        <v>0</v>
      </c>
      <c r="D131" s="213">
        <f t="shared" si="11"/>
        <v>3.2000000000000001E-2</v>
      </c>
      <c r="E131" s="213">
        <f t="shared" si="12"/>
        <v>0.14399999999999999</v>
      </c>
      <c r="F131" s="301">
        <f t="shared" si="13"/>
        <v>0</v>
      </c>
      <c r="G131" s="258" t="str">
        <f t="shared" si="14"/>
        <v>OK</v>
      </c>
      <c r="H131" s="11"/>
      <c r="I131" s="11"/>
      <c r="J131" s="11"/>
      <c r="K131" s="50"/>
    </row>
    <row r="132" spans="1:11" x14ac:dyDescent="0.5">
      <c r="A132" s="381"/>
      <c r="B132" s="300">
        <f t="shared" si="9"/>
        <v>29</v>
      </c>
      <c r="C132" s="213">
        <f t="shared" si="10"/>
        <v>0</v>
      </c>
      <c r="D132" s="213">
        <f t="shared" si="11"/>
        <v>3.2000000000000001E-2</v>
      </c>
      <c r="E132" s="213">
        <f t="shared" si="12"/>
        <v>0.14399999999999999</v>
      </c>
      <c r="F132" s="301">
        <f t="shared" si="13"/>
        <v>0</v>
      </c>
      <c r="G132" s="258" t="str">
        <f t="shared" si="14"/>
        <v>OK</v>
      </c>
      <c r="H132" s="11"/>
      <c r="I132" s="11"/>
      <c r="J132" s="11"/>
      <c r="K132" s="50"/>
    </row>
    <row r="133" spans="1:11" x14ac:dyDescent="0.5">
      <c r="A133" s="381"/>
      <c r="B133" s="300">
        <f t="shared" si="9"/>
        <v>28</v>
      </c>
      <c r="C133" s="213">
        <f t="shared" si="10"/>
        <v>0</v>
      </c>
      <c r="D133" s="213">
        <f t="shared" si="11"/>
        <v>3.2000000000000001E-2</v>
      </c>
      <c r="E133" s="213">
        <f t="shared" si="12"/>
        <v>0.14399999999999999</v>
      </c>
      <c r="F133" s="301">
        <f t="shared" si="13"/>
        <v>0</v>
      </c>
      <c r="G133" s="258" t="str">
        <f t="shared" si="14"/>
        <v>OK</v>
      </c>
      <c r="H133" s="11"/>
      <c r="I133" s="11"/>
      <c r="J133" s="11"/>
      <c r="K133" s="50"/>
    </row>
    <row r="134" spans="1:11" x14ac:dyDescent="0.5">
      <c r="A134" s="381"/>
      <c r="B134" s="300">
        <f t="shared" si="9"/>
        <v>27</v>
      </c>
      <c r="C134" s="213">
        <f t="shared" si="10"/>
        <v>0</v>
      </c>
      <c r="D134" s="213">
        <f t="shared" si="11"/>
        <v>3.2000000000000001E-2</v>
      </c>
      <c r="E134" s="213">
        <f t="shared" si="12"/>
        <v>0.14399999999999999</v>
      </c>
      <c r="F134" s="301">
        <f t="shared" si="13"/>
        <v>0</v>
      </c>
      <c r="G134" s="258" t="str">
        <f t="shared" si="14"/>
        <v>OK</v>
      </c>
      <c r="H134" s="11"/>
      <c r="I134" s="11"/>
      <c r="J134" s="11"/>
      <c r="K134" s="50"/>
    </row>
    <row r="135" spans="1:11" x14ac:dyDescent="0.5">
      <c r="A135" s="381"/>
      <c r="B135" s="300">
        <f t="shared" si="9"/>
        <v>26</v>
      </c>
      <c r="C135" s="213">
        <f t="shared" si="10"/>
        <v>0</v>
      </c>
      <c r="D135" s="213">
        <f t="shared" si="11"/>
        <v>3.2000000000000001E-2</v>
      </c>
      <c r="E135" s="213">
        <f t="shared" si="12"/>
        <v>0.14399999999999999</v>
      </c>
      <c r="F135" s="301">
        <f t="shared" si="13"/>
        <v>0</v>
      </c>
      <c r="G135" s="258" t="str">
        <f t="shared" si="14"/>
        <v>OK</v>
      </c>
      <c r="H135" s="11"/>
      <c r="I135" s="11"/>
      <c r="J135" s="11"/>
      <c r="K135" s="50"/>
    </row>
    <row r="136" spans="1:11" x14ac:dyDescent="0.5">
      <c r="A136" s="381"/>
      <c r="B136" s="300">
        <f t="shared" si="9"/>
        <v>25</v>
      </c>
      <c r="C136" s="213">
        <f t="shared" si="10"/>
        <v>0</v>
      </c>
      <c r="D136" s="213">
        <f t="shared" si="11"/>
        <v>3.2000000000000001E-2</v>
      </c>
      <c r="E136" s="213">
        <f t="shared" si="12"/>
        <v>0.14399999999999999</v>
      </c>
      <c r="F136" s="301">
        <f t="shared" si="13"/>
        <v>0</v>
      </c>
      <c r="G136" s="258" t="str">
        <f t="shared" si="14"/>
        <v>OK</v>
      </c>
      <c r="H136" s="11"/>
      <c r="I136" s="11"/>
      <c r="J136" s="11"/>
      <c r="K136" s="50"/>
    </row>
    <row r="137" spans="1:11" x14ac:dyDescent="0.5">
      <c r="A137" s="381"/>
      <c r="B137" s="300">
        <f t="shared" si="9"/>
        <v>24</v>
      </c>
      <c r="C137" s="213">
        <f t="shared" si="10"/>
        <v>0</v>
      </c>
      <c r="D137" s="213">
        <f t="shared" si="11"/>
        <v>3.2000000000000001E-2</v>
      </c>
      <c r="E137" s="213">
        <f t="shared" si="12"/>
        <v>0.14399999999999999</v>
      </c>
      <c r="F137" s="301">
        <f t="shared" si="13"/>
        <v>0</v>
      </c>
      <c r="G137" s="258" t="str">
        <f t="shared" si="14"/>
        <v>OK</v>
      </c>
      <c r="H137" s="11"/>
      <c r="I137" s="11"/>
      <c r="J137" s="11"/>
      <c r="K137" s="50"/>
    </row>
    <row r="138" spans="1:11" x14ac:dyDescent="0.5">
      <c r="A138" s="381"/>
      <c r="B138" s="300">
        <f t="shared" si="9"/>
        <v>23</v>
      </c>
      <c r="C138" s="213">
        <f t="shared" si="10"/>
        <v>0</v>
      </c>
      <c r="D138" s="213">
        <f t="shared" si="11"/>
        <v>3.2000000000000001E-2</v>
      </c>
      <c r="E138" s="213">
        <f t="shared" si="12"/>
        <v>0.14399999999999999</v>
      </c>
      <c r="F138" s="301">
        <f t="shared" si="13"/>
        <v>0</v>
      </c>
      <c r="G138" s="258" t="str">
        <f t="shared" si="14"/>
        <v>OK</v>
      </c>
      <c r="H138" s="11"/>
      <c r="I138" s="11"/>
      <c r="J138" s="11"/>
      <c r="K138" s="50"/>
    </row>
    <row r="139" spans="1:11" x14ac:dyDescent="0.5">
      <c r="A139" s="381"/>
      <c r="B139" s="300">
        <f t="shared" si="9"/>
        <v>22</v>
      </c>
      <c r="C139" s="213">
        <f t="shared" si="10"/>
        <v>0</v>
      </c>
      <c r="D139" s="213">
        <f t="shared" si="11"/>
        <v>3.2000000000000001E-2</v>
      </c>
      <c r="E139" s="213">
        <f t="shared" si="12"/>
        <v>0.14399999999999999</v>
      </c>
      <c r="F139" s="301">
        <f t="shared" si="13"/>
        <v>0</v>
      </c>
      <c r="G139" s="258" t="str">
        <f t="shared" si="14"/>
        <v>OK</v>
      </c>
      <c r="H139" s="11"/>
      <c r="I139" s="11"/>
      <c r="J139" s="11"/>
      <c r="K139" s="50"/>
    </row>
    <row r="140" spans="1:11" x14ac:dyDescent="0.5">
      <c r="A140" s="381"/>
      <c r="B140" s="300">
        <f t="shared" si="9"/>
        <v>21</v>
      </c>
      <c r="C140" s="213">
        <f t="shared" si="10"/>
        <v>0</v>
      </c>
      <c r="D140" s="213">
        <f t="shared" si="11"/>
        <v>3.2000000000000001E-2</v>
      </c>
      <c r="E140" s="213">
        <f t="shared" si="12"/>
        <v>0.14399999999999999</v>
      </c>
      <c r="F140" s="301">
        <f t="shared" si="13"/>
        <v>0</v>
      </c>
      <c r="G140" s="258" t="str">
        <f t="shared" si="14"/>
        <v>OK</v>
      </c>
      <c r="H140" s="11"/>
      <c r="I140" s="11"/>
      <c r="J140" s="11"/>
      <c r="K140" s="50"/>
    </row>
    <row r="141" spans="1:11" x14ac:dyDescent="0.5">
      <c r="A141" s="381"/>
      <c r="B141" s="300">
        <f t="shared" si="9"/>
        <v>20</v>
      </c>
      <c r="C141" s="213">
        <f t="shared" si="10"/>
        <v>0</v>
      </c>
      <c r="D141" s="213">
        <f t="shared" si="11"/>
        <v>3.2000000000000001E-2</v>
      </c>
      <c r="E141" s="213">
        <f t="shared" si="12"/>
        <v>0.14399999999999999</v>
      </c>
      <c r="F141" s="301">
        <f t="shared" si="13"/>
        <v>0</v>
      </c>
      <c r="G141" s="258" t="str">
        <f t="shared" si="14"/>
        <v>OK</v>
      </c>
      <c r="H141" s="11"/>
      <c r="I141" s="11"/>
      <c r="J141" s="11"/>
      <c r="K141" s="50"/>
    </row>
    <row r="142" spans="1:11" x14ac:dyDescent="0.5">
      <c r="A142" s="381"/>
      <c r="B142" s="300">
        <f t="shared" si="9"/>
        <v>19</v>
      </c>
      <c r="C142" s="213">
        <f t="shared" si="10"/>
        <v>0</v>
      </c>
      <c r="D142" s="213">
        <f t="shared" si="11"/>
        <v>3.2000000000000001E-2</v>
      </c>
      <c r="E142" s="213">
        <f t="shared" si="12"/>
        <v>0.14399999999999999</v>
      </c>
      <c r="F142" s="301">
        <f t="shared" si="13"/>
        <v>0</v>
      </c>
      <c r="G142" s="258" t="str">
        <f t="shared" si="14"/>
        <v>OK</v>
      </c>
      <c r="H142" s="11"/>
      <c r="I142" s="11"/>
      <c r="J142" s="11"/>
      <c r="K142" s="50"/>
    </row>
    <row r="143" spans="1:11" x14ac:dyDescent="0.5">
      <c r="A143" s="381"/>
      <c r="B143" s="300">
        <f t="shared" si="9"/>
        <v>18</v>
      </c>
      <c r="C143" s="213">
        <f t="shared" si="10"/>
        <v>2.9999999999999997E-4</v>
      </c>
      <c r="D143" s="213">
        <f t="shared" si="11"/>
        <v>3.2000000000000001E-2</v>
      </c>
      <c r="E143" s="213">
        <f t="shared" si="12"/>
        <v>0.14399999999999999</v>
      </c>
      <c r="F143" s="301">
        <f t="shared" si="13"/>
        <v>0</v>
      </c>
      <c r="G143" s="258" t="str">
        <f t="shared" si="14"/>
        <v>OK</v>
      </c>
      <c r="H143" s="11"/>
      <c r="I143" s="11"/>
      <c r="J143" s="11"/>
      <c r="K143" s="50"/>
    </row>
    <row r="144" spans="1:11" x14ac:dyDescent="0.5">
      <c r="A144" s="381"/>
      <c r="B144" s="300">
        <f t="shared" si="9"/>
        <v>17</v>
      </c>
      <c r="C144" s="213">
        <f t="shared" si="10"/>
        <v>5.0000000000000001E-4</v>
      </c>
      <c r="D144" s="213">
        <f t="shared" si="11"/>
        <v>3.2000000000000001E-2</v>
      </c>
      <c r="E144" s="213">
        <f t="shared" si="12"/>
        <v>0.14399999999999999</v>
      </c>
      <c r="F144" s="301">
        <f t="shared" si="13"/>
        <v>3.9999999999999758E-3</v>
      </c>
      <c r="G144" s="258" t="str">
        <f t="shared" si="14"/>
        <v>OK</v>
      </c>
      <c r="H144" s="11"/>
      <c r="I144" s="11"/>
      <c r="J144" s="11"/>
      <c r="K144" s="50"/>
    </row>
    <row r="145" spans="1:11" x14ac:dyDescent="0.5">
      <c r="A145" s="381"/>
      <c r="B145" s="300">
        <f t="shared" si="9"/>
        <v>16</v>
      </c>
      <c r="C145" s="213">
        <f t="shared" si="10"/>
        <v>8.0000000000000004E-4</v>
      </c>
      <c r="D145" s="213">
        <f t="shared" si="11"/>
        <v>3.1E-2</v>
      </c>
      <c r="E145" s="213">
        <f t="shared" si="12"/>
        <v>0.14000000000000001</v>
      </c>
      <c r="F145" s="301">
        <f t="shared" si="13"/>
        <v>5.0000000000000044E-3</v>
      </c>
      <c r="G145" s="258" t="str">
        <f t="shared" si="14"/>
        <v>OK</v>
      </c>
      <c r="H145" s="11"/>
      <c r="I145" s="11"/>
      <c r="J145" s="11"/>
      <c r="K145" s="50"/>
    </row>
    <row r="146" spans="1:11" x14ac:dyDescent="0.5">
      <c r="A146" s="381"/>
      <c r="B146" s="300">
        <f t="shared" si="9"/>
        <v>15</v>
      </c>
      <c r="C146" s="213">
        <f t="shared" si="10"/>
        <v>1E-3</v>
      </c>
      <c r="D146" s="213">
        <f t="shared" si="11"/>
        <v>0.03</v>
      </c>
      <c r="E146" s="213">
        <f t="shared" si="12"/>
        <v>0.13500000000000001</v>
      </c>
      <c r="F146" s="301">
        <f t="shared" si="13"/>
        <v>4.0000000000000036E-3</v>
      </c>
      <c r="G146" s="258" t="str">
        <f t="shared" si="14"/>
        <v>OK</v>
      </c>
      <c r="H146" s="11"/>
      <c r="I146" s="11"/>
      <c r="J146" s="11"/>
      <c r="K146" s="50"/>
    </row>
    <row r="147" spans="1:11" x14ac:dyDescent="0.5">
      <c r="A147" s="381"/>
      <c r="B147" s="300">
        <f t="shared" si="9"/>
        <v>14</v>
      </c>
      <c r="C147" s="213">
        <f t="shared" si="10"/>
        <v>1.1999999999999999E-3</v>
      </c>
      <c r="D147" s="213">
        <f t="shared" si="11"/>
        <v>2.9000000000000001E-2</v>
      </c>
      <c r="E147" s="213">
        <f t="shared" si="12"/>
        <v>0.13100000000000001</v>
      </c>
      <c r="F147" s="301">
        <f>+IF(B147=0,0,IF(B147&gt;0,(E147-E148)))</f>
        <v>5.0000000000000044E-3</v>
      </c>
      <c r="G147" s="258" t="str">
        <f t="shared" si="14"/>
        <v>OK</v>
      </c>
      <c r="H147" s="11"/>
      <c r="I147" s="11"/>
      <c r="J147" s="11"/>
      <c r="K147" s="50"/>
    </row>
    <row r="148" spans="1:11" x14ac:dyDescent="0.5">
      <c r="A148" s="381"/>
      <c r="B148" s="300">
        <f t="shared" si="9"/>
        <v>13</v>
      </c>
      <c r="C148" s="213">
        <f t="shared" si="10"/>
        <v>1.4E-3</v>
      </c>
      <c r="D148" s="213">
        <f t="shared" si="11"/>
        <v>2.8000000000000001E-2</v>
      </c>
      <c r="E148" s="213">
        <f t="shared" si="12"/>
        <v>0.126</v>
      </c>
      <c r="F148" s="301">
        <f t="shared" si="13"/>
        <v>4.0000000000000036E-3</v>
      </c>
      <c r="G148" s="258" t="str">
        <f t="shared" si="14"/>
        <v>OK</v>
      </c>
      <c r="H148" s="11"/>
      <c r="I148" s="11"/>
      <c r="J148" s="11"/>
      <c r="K148" s="50"/>
    </row>
    <row r="149" spans="1:11" x14ac:dyDescent="0.5">
      <c r="A149" s="381"/>
      <c r="B149" s="300">
        <f t="shared" si="9"/>
        <v>12</v>
      </c>
      <c r="C149" s="213">
        <f t="shared" si="10"/>
        <v>1.6000000000000001E-3</v>
      </c>
      <c r="D149" s="213">
        <f>IF(B149=B150+1,ROUND((C149+D150),3),IF(B149=0,0))</f>
        <v>2.7E-2</v>
      </c>
      <c r="E149" s="213">
        <f>IF(B149=B150+1,ROUND(+$J$28*(SUM(D149))/($G$26),3),IF(B149=0,0))</f>
        <v>0.122</v>
      </c>
      <c r="F149" s="301">
        <f t="shared" si="13"/>
        <v>8.9999999999999941E-3</v>
      </c>
      <c r="G149" s="258" t="str">
        <f t="shared" si="14"/>
        <v>OK</v>
      </c>
      <c r="H149" s="11"/>
      <c r="I149" s="11"/>
      <c r="J149" s="11"/>
      <c r="K149" s="50"/>
    </row>
    <row r="150" spans="1:11" x14ac:dyDescent="0.5">
      <c r="A150" s="381"/>
      <c r="B150" s="300">
        <f t="shared" si="9"/>
        <v>11</v>
      </c>
      <c r="C150" s="213">
        <f t="shared" si="10"/>
        <v>1.6999999999999999E-3</v>
      </c>
      <c r="D150" s="213">
        <f t="shared" ref="D150:D158" si="15">IF(B150=B151+1,ROUND((C150+D151),3),IF(B150=0,0))</f>
        <v>2.5000000000000001E-2</v>
      </c>
      <c r="E150" s="213">
        <f t="shared" ref="E150:E158" si="16">IF(B150=B151+1,ROUND(+$J$28*(SUM(D150))/($G$26),3),IF(B150=0,0))</f>
        <v>0.113</v>
      </c>
      <c r="F150" s="301">
        <f t="shared" si="13"/>
        <v>9.000000000000008E-3</v>
      </c>
      <c r="G150" s="258" t="str">
        <f t="shared" si="14"/>
        <v>OK</v>
      </c>
      <c r="H150" s="11"/>
      <c r="I150" s="11"/>
      <c r="J150" s="11"/>
      <c r="K150" s="50"/>
    </row>
    <row r="151" spans="1:11" x14ac:dyDescent="0.5">
      <c r="A151" s="381"/>
      <c r="B151" s="300">
        <f t="shared" si="9"/>
        <v>10</v>
      </c>
      <c r="C151" s="213">
        <f t="shared" si="10"/>
        <v>1.9E-3</v>
      </c>
      <c r="D151" s="213">
        <f t="shared" si="15"/>
        <v>2.3E-2</v>
      </c>
      <c r="E151" s="213">
        <f t="shared" si="16"/>
        <v>0.104</v>
      </c>
      <c r="F151" s="301">
        <f t="shared" si="13"/>
        <v>8.9999999999999941E-3</v>
      </c>
      <c r="G151" s="258" t="str">
        <f t="shared" si="14"/>
        <v>OK</v>
      </c>
      <c r="H151" s="11"/>
      <c r="I151" s="11"/>
      <c r="J151" s="11"/>
      <c r="K151" s="50"/>
    </row>
    <row r="152" spans="1:11" x14ac:dyDescent="0.5">
      <c r="A152" s="381"/>
      <c r="B152" s="300">
        <f t="shared" si="9"/>
        <v>9</v>
      </c>
      <c r="C152" s="213">
        <f t="shared" si="10"/>
        <v>2E-3</v>
      </c>
      <c r="D152" s="213">
        <f t="shared" si="15"/>
        <v>2.1000000000000001E-2</v>
      </c>
      <c r="E152" s="213">
        <f t="shared" si="16"/>
        <v>9.5000000000000001E-2</v>
      </c>
      <c r="F152" s="301">
        <f t="shared" si="13"/>
        <v>9.000000000000008E-3</v>
      </c>
      <c r="G152" s="258" t="str">
        <f t="shared" si="14"/>
        <v>OK</v>
      </c>
      <c r="H152" s="11"/>
      <c r="I152" s="11"/>
      <c r="J152" s="11"/>
      <c r="K152" s="50"/>
    </row>
    <row r="153" spans="1:11" x14ac:dyDescent="0.5">
      <c r="A153" s="381"/>
      <c r="B153" s="300">
        <f t="shared" si="9"/>
        <v>8</v>
      </c>
      <c r="C153" s="213">
        <f t="shared" si="10"/>
        <v>2.2000000000000001E-3</v>
      </c>
      <c r="D153" s="213">
        <f t="shared" si="15"/>
        <v>1.9E-2</v>
      </c>
      <c r="E153" s="213">
        <f t="shared" si="16"/>
        <v>8.5999999999999993E-2</v>
      </c>
      <c r="F153" s="301">
        <f t="shared" si="13"/>
        <v>8.9999999999999941E-3</v>
      </c>
      <c r="G153" s="258" t="str">
        <f t="shared" si="14"/>
        <v>OK</v>
      </c>
      <c r="H153" s="11"/>
      <c r="I153" s="11"/>
      <c r="J153" s="11"/>
      <c r="K153" s="50"/>
    </row>
    <row r="154" spans="1:11" x14ac:dyDescent="0.5">
      <c r="A154" s="381"/>
      <c r="B154" s="300">
        <f t="shared" si="9"/>
        <v>7</v>
      </c>
      <c r="C154" s="213">
        <f t="shared" si="10"/>
        <v>2.3E-3</v>
      </c>
      <c r="D154" s="216">
        <f t="shared" si="15"/>
        <v>1.7000000000000001E-2</v>
      </c>
      <c r="E154" s="213">
        <f>IF(B154=B155+1,ROUND(+$J$28*(SUM(D154))/($G$26),3),IF(B154=0,0))</f>
        <v>7.6999999999999999E-2</v>
      </c>
      <c r="F154" s="301">
        <f t="shared" si="13"/>
        <v>8.9999999999999941E-3</v>
      </c>
      <c r="G154" s="258" t="str">
        <f t="shared" si="14"/>
        <v>OK</v>
      </c>
      <c r="H154" s="11"/>
      <c r="I154" s="11"/>
      <c r="J154" s="11"/>
      <c r="K154" s="50"/>
    </row>
    <row r="155" spans="1:11" x14ac:dyDescent="0.5">
      <c r="A155" s="381"/>
      <c r="B155" s="300">
        <f t="shared" si="9"/>
        <v>6</v>
      </c>
      <c r="C155" s="213">
        <f t="shared" si="10"/>
        <v>2.3E-3</v>
      </c>
      <c r="D155" s="213">
        <f t="shared" si="15"/>
        <v>1.4999999999999999E-2</v>
      </c>
      <c r="E155" s="213">
        <f t="shared" si="16"/>
        <v>6.8000000000000005E-2</v>
      </c>
      <c r="F155" s="301">
        <f t="shared" si="13"/>
        <v>9.000000000000008E-3</v>
      </c>
      <c r="G155" s="258" t="str">
        <f t="shared" si="14"/>
        <v>OK</v>
      </c>
      <c r="H155" s="11"/>
      <c r="I155" s="11"/>
      <c r="J155" s="11"/>
      <c r="K155" s="50"/>
    </row>
    <row r="156" spans="1:11" x14ac:dyDescent="0.5">
      <c r="A156" s="381"/>
      <c r="B156" s="300">
        <f t="shared" si="9"/>
        <v>5</v>
      </c>
      <c r="C156" s="213">
        <f t="shared" si="10"/>
        <v>2.3999999999999998E-3</v>
      </c>
      <c r="D156" s="213">
        <f t="shared" si="15"/>
        <v>1.2999999999999999E-2</v>
      </c>
      <c r="E156" s="213">
        <f t="shared" si="16"/>
        <v>5.8999999999999997E-2</v>
      </c>
      <c r="F156" s="301">
        <f t="shared" si="13"/>
        <v>8.9999999999999941E-3</v>
      </c>
      <c r="G156" s="258" t="str">
        <f t="shared" si="14"/>
        <v>OK</v>
      </c>
      <c r="H156" s="11"/>
      <c r="I156" s="11"/>
      <c r="J156" s="11"/>
      <c r="K156" s="50"/>
    </row>
    <row r="157" spans="1:11" x14ac:dyDescent="0.5">
      <c r="A157" s="381"/>
      <c r="B157" s="300">
        <f t="shared" si="9"/>
        <v>4</v>
      </c>
      <c r="C157" s="213">
        <f t="shared" si="10"/>
        <v>2.5000000000000001E-3</v>
      </c>
      <c r="D157" s="213">
        <f t="shared" si="15"/>
        <v>1.0999999999999999E-2</v>
      </c>
      <c r="E157" s="213">
        <f t="shared" si="16"/>
        <v>0.05</v>
      </c>
      <c r="F157" s="301">
        <f t="shared" si="13"/>
        <v>1.4000000000000005E-2</v>
      </c>
      <c r="G157" s="258" t="str">
        <f t="shared" si="14"/>
        <v>OK</v>
      </c>
      <c r="H157" s="11"/>
      <c r="I157" s="11"/>
      <c r="J157" s="11"/>
      <c r="K157" s="50"/>
    </row>
    <row r="158" spans="1:11" x14ac:dyDescent="0.5">
      <c r="A158" s="381"/>
      <c r="B158" s="300">
        <f t="shared" si="9"/>
        <v>3</v>
      </c>
      <c r="C158" s="213">
        <f t="shared" si="10"/>
        <v>2.5000000000000001E-3</v>
      </c>
      <c r="D158" s="213">
        <f t="shared" si="15"/>
        <v>8.0000000000000002E-3</v>
      </c>
      <c r="E158" s="213">
        <f t="shared" si="16"/>
        <v>3.5999999999999997E-2</v>
      </c>
      <c r="F158" s="301">
        <f t="shared" si="13"/>
        <v>1.2999999999999998E-2</v>
      </c>
      <c r="G158" s="258" t="str">
        <f t="shared" si="14"/>
        <v>OK</v>
      </c>
      <c r="H158" s="11"/>
      <c r="I158" s="11"/>
      <c r="J158" s="11"/>
      <c r="K158" s="50"/>
    </row>
    <row r="159" spans="1:11" x14ac:dyDescent="0.5">
      <c r="A159" s="381"/>
      <c r="B159" s="300">
        <f t="shared" si="9"/>
        <v>2</v>
      </c>
      <c r="C159" s="213">
        <f>ROUND(G99/($I$50),4)</f>
        <v>2.5999999999999999E-3</v>
      </c>
      <c r="D159" s="213">
        <f>IF(B159=B160+1,ROUND((C159+D160),3),IF(B159=0,0))</f>
        <v>5.0000000000000001E-3</v>
      </c>
      <c r="E159" s="213">
        <f>IF(B159=B160+1,ROUND(+$J$28*(SUM(D159))/($G$26),3),IF(B159=0,0))</f>
        <v>2.3E-2</v>
      </c>
      <c r="F159" s="301">
        <f>+IF(B159=0,0,IF(B159&gt;0,(E159-E160)))</f>
        <v>1.0999999999999999E-2</v>
      </c>
      <c r="G159" s="258" t="str">
        <f t="shared" si="14"/>
        <v>OK</v>
      </c>
      <c r="H159" s="11"/>
      <c r="I159" s="11"/>
      <c r="J159" s="11"/>
      <c r="K159" s="50"/>
    </row>
    <row r="160" spans="1:11" x14ac:dyDescent="0.5">
      <c r="A160" s="381"/>
      <c r="B160" s="300">
        <f>+B100</f>
        <v>1</v>
      </c>
      <c r="C160" s="213">
        <f t="shared" si="10"/>
        <v>2.5999999999999999E-3</v>
      </c>
      <c r="D160" s="213">
        <f>+C160</f>
        <v>2.5999999999999999E-3</v>
      </c>
      <c r="E160" s="213">
        <f>IF(B160=1,ROUND(+$J$28*(SUM(C160))/($G$26),3),IF(B160=0,0))</f>
        <v>1.2E-2</v>
      </c>
      <c r="F160" s="301">
        <f>+E160</f>
        <v>1.2E-2</v>
      </c>
      <c r="G160" s="258" t="str">
        <f>+IF(F160&lt;(0.01*($H$4*100)),"OK","NO")</f>
        <v>OK</v>
      </c>
      <c r="H160" s="11"/>
      <c r="I160" s="11"/>
      <c r="J160" s="11"/>
      <c r="K160" s="50"/>
    </row>
    <row r="161" spans="1:11" x14ac:dyDescent="0.5">
      <c r="A161" s="381"/>
      <c r="B161" s="250"/>
      <c r="C161" s="11"/>
      <c r="D161" s="11"/>
      <c r="E161" s="11"/>
      <c r="F161" s="11"/>
      <c r="G161" s="11"/>
      <c r="H161" s="11"/>
      <c r="I161" s="11"/>
      <c r="J161" s="11"/>
      <c r="K161" s="50"/>
    </row>
    <row r="162" spans="1:11" x14ac:dyDescent="0.5">
      <c r="A162" s="381"/>
      <c r="B162" s="11"/>
      <c r="C162" s="11"/>
      <c r="D162" s="11"/>
      <c r="E162" s="11"/>
      <c r="F162" s="11"/>
      <c r="G162" s="11"/>
      <c r="H162" s="11"/>
      <c r="I162" s="11"/>
      <c r="J162" s="11"/>
      <c r="K162" s="50"/>
    </row>
    <row r="163" spans="1:11" x14ac:dyDescent="0.5">
      <c r="A163" s="381"/>
      <c r="B163" s="11"/>
      <c r="C163" s="11"/>
      <c r="D163" s="11"/>
      <c r="E163" s="11"/>
      <c r="F163" s="11"/>
      <c r="G163" s="11"/>
      <c r="H163" s="11"/>
      <c r="I163" s="11"/>
      <c r="J163" s="11"/>
      <c r="K163" s="50"/>
    </row>
    <row r="164" spans="1:11" x14ac:dyDescent="0.5">
      <c r="A164" s="381"/>
      <c r="B164" s="11"/>
      <c r="C164" s="11"/>
      <c r="D164" s="11"/>
      <c r="E164" s="11"/>
      <c r="F164" s="11"/>
      <c r="G164" s="11"/>
      <c r="H164" s="11"/>
      <c r="I164" s="11"/>
      <c r="J164" s="11"/>
      <c r="K164" s="50"/>
    </row>
    <row r="165" spans="1:11" x14ac:dyDescent="0.5">
      <c r="A165" s="381"/>
      <c r="B165" s="11"/>
      <c r="C165" s="11"/>
      <c r="D165" s="11"/>
      <c r="E165" s="11"/>
      <c r="F165" s="11"/>
      <c r="G165" s="11"/>
      <c r="H165" s="11"/>
      <c r="I165" s="11"/>
      <c r="J165" s="11"/>
      <c r="K165" s="50"/>
    </row>
    <row r="166" spans="1:11" x14ac:dyDescent="0.5">
      <c r="A166" s="381"/>
      <c r="B166" s="11"/>
      <c r="C166" s="11"/>
      <c r="D166" s="11"/>
      <c r="E166" s="11"/>
      <c r="F166" s="11"/>
      <c r="G166" s="11"/>
      <c r="H166" s="11"/>
      <c r="I166" s="11"/>
      <c r="J166" s="11"/>
      <c r="K166" s="50"/>
    </row>
    <row r="167" spans="1:11" x14ac:dyDescent="0.5">
      <c r="A167" s="381"/>
      <c r="B167" s="11"/>
      <c r="C167" s="11"/>
      <c r="D167" s="11"/>
      <c r="E167" s="11"/>
      <c r="F167" s="11"/>
      <c r="G167" s="11"/>
      <c r="H167" s="11"/>
      <c r="I167" s="11"/>
      <c r="J167" s="11"/>
      <c r="K167" s="50"/>
    </row>
    <row r="168" spans="1:11" x14ac:dyDescent="0.5">
      <c r="A168" s="381"/>
      <c r="B168" s="11"/>
      <c r="C168" s="11"/>
      <c r="D168" s="11"/>
      <c r="E168" s="11"/>
      <c r="F168" s="11"/>
      <c r="G168" s="11"/>
      <c r="H168" s="11"/>
      <c r="I168" s="11"/>
      <c r="J168" s="11"/>
      <c r="K168" s="50"/>
    </row>
    <row r="169" spans="1:11" x14ac:dyDescent="0.5">
      <c r="A169" s="381"/>
      <c r="B169" s="11"/>
      <c r="C169" s="11"/>
      <c r="D169" s="11"/>
      <c r="E169" s="11"/>
      <c r="F169" s="11"/>
      <c r="G169" s="11"/>
      <c r="H169" s="11"/>
      <c r="I169" s="11"/>
      <c r="J169" s="11"/>
      <c r="K169" s="50"/>
    </row>
    <row r="170" spans="1:11" x14ac:dyDescent="0.5">
      <c r="A170" s="382"/>
      <c r="B170" s="11"/>
      <c r="C170" s="11"/>
      <c r="D170" s="11"/>
      <c r="E170" s="11"/>
      <c r="F170" s="11"/>
      <c r="G170" s="11"/>
      <c r="H170" s="11"/>
      <c r="I170" s="11"/>
      <c r="J170" s="11"/>
      <c r="K170" s="50"/>
    </row>
    <row r="171" spans="1:11" x14ac:dyDescent="0.5">
      <c r="A171" s="374" t="s">
        <v>345</v>
      </c>
      <c r="B171" s="375"/>
      <c r="C171" s="375"/>
      <c r="D171" s="375"/>
      <c r="E171" s="375"/>
      <c r="F171" s="375"/>
      <c r="G171" s="375"/>
      <c r="H171" s="375"/>
      <c r="I171" s="375"/>
      <c r="J171" s="375"/>
      <c r="K171" s="376"/>
    </row>
    <row r="172" spans="1:11" x14ac:dyDescent="0.5">
      <c r="A172" s="377"/>
      <c r="B172" s="378"/>
      <c r="C172" s="378"/>
      <c r="D172" s="378"/>
      <c r="E172" s="378"/>
      <c r="F172" s="378"/>
      <c r="G172" s="378"/>
      <c r="H172" s="378"/>
      <c r="I172" s="378"/>
      <c r="J172" s="378"/>
      <c r="K172" s="379"/>
    </row>
    <row r="173" spans="1:11" x14ac:dyDescent="0.5">
      <c r="A173" s="355" t="s">
        <v>350</v>
      </c>
      <c r="B173" s="64"/>
      <c r="C173" s="64"/>
      <c r="D173" s="64"/>
      <c r="E173" s="64"/>
      <c r="F173" s="64"/>
      <c r="G173" s="64"/>
      <c r="H173" s="64"/>
      <c r="I173" s="64"/>
      <c r="J173" s="64"/>
      <c r="K173" s="67"/>
    </row>
    <row r="174" spans="1:11" x14ac:dyDescent="0.5">
      <c r="A174" s="356"/>
      <c r="B174" s="11"/>
      <c r="C174" s="11"/>
      <c r="D174" s="11"/>
      <c r="E174" s="11"/>
      <c r="F174" s="11"/>
      <c r="G174" s="11"/>
      <c r="H174" s="11"/>
      <c r="I174" s="11"/>
      <c r="J174" s="11"/>
      <c r="K174" s="50"/>
    </row>
    <row r="175" spans="1:11" ht="27" thickBot="1" x14ac:dyDescent="0.55000000000000004">
      <c r="A175" s="356"/>
      <c r="B175" s="383" t="s">
        <v>340</v>
      </c>
      <c r="C175" s="383"/>
      <c r="D175" s="383"/>
      <c r="E175" s="383"/>
      <c r="F175" s="383"/>
      <c r="G175" s="383"/>
      <c r="H175" s="11"/>
      <c r="I175" s="11"/>
      <c r="J175" s="11"/>
      <c r="K175" s="50"/>
    </row>
    <row r="176" spans="1:11" ht="26.25" x14ac:dyDescent="0.55000000000000004">
      <c r="A176" s="356"/>
      <c r="B176" s="293" t="s">
        <v>22</v>
      </c>
      <c r="C176" s="257" t="s">
        <v>335</v>
      </c>
      <c r="D176" s="257" t="s">
        <v>337</v>
      </c>
      <c r="E176" s="257" t="s">
        <v>336</v>
      </c>
      <c r="F176" s="111" t="s">
        <v>338</v>
      </c>
      <c r="G176" s="302">
        <f>0.01*($H$4*100)</f>
        <v>3.5</v>
      </c>
      <c r="H176" s="11"/>
      <c r="I176" s="11"/>
      <c r="J176" s="11"/>
      <c r="K176" s="50"/>
    </row>
    <row r="177" spans="1:11" x14ac:dyDescent="0.5">
      <c r="A177" s="356"/>
      <c r="B177" s="300">
        <f t="shared" ref="B177:B215" si="17">+B121</f>
        <v>40</v>
      </c>
      <c r="C177" s="213">
        <f t="shared" ref="C177:C216" si="18">ROUND(G61/($I$53),4)</f>
        <v>0</v>
      </c>
      <c r="D177" s="213">
        <f t="shared" ref="D177:D204" si="19">IF(B177=B178+1,ROUND((C177+D178),3),IF(B177=0,0))</f>
        <v>0.129</v>
      </c>
      <c r="E177" s="213">
        <f t="shared" ref="E177:E204" si="20">IF(B177=B178+1,ROUND(+$J$28*(SUM(D177))/($G$26),3),IF(B177=0,0))</f>
        <v>0.58099999999999996</v>
      </c>
      <c r="F177" s="213">
        <f t="shared" ref="F177:F214" si="21">+IF(B177=0,0,IF(B177&gt;0,(E177-E178)))</f>
        <v>0</v>
      </c>
      <c r="G177" s="258" t="str">
        <f t="shared" ref="G177:G215" si="22">+IF(F177&lt;(0.01*($H$4*100)),"OK","NO")</f>
        <v>OK</v>
      </c>
      <c r="H177" s="11"/>
      <c r="I177" s="11"/>
      <c r="J177" s="11"/>
      <c r="K177" s="50"/>
    </row>
    <row r="178" spans="1:11" x14ac:dyDescent="0.5">
      <c r="A178" s="356"/>
      <c r="B178" s="300">
        <f t="shared" si="17"/>
        <v>39</v>
      </c>
      <c r="C178" s="213">
        <f t="shared" si="18"/>
        <v>0</v>
      </c>
      <c r="D178" s="213">
        <f t="shared" si="19"/>
        <v>0.129</v>
      </c>
      <c r="E178" s="213">
        <f t="shared" si="20"/>
        <v>0.58099999999999996</v>
      </c>
      <c r="F178" s="213">
        <f t="shared" si="21"/>
        <v>0</v>
      </c>
      <c r="G178" s="258" t="str">
        <f t="shared" si="22"/>
        <v>OK</v>
      </c>
      <c r="H178" s="11"/>
      <c r="I178" s="11"/>
      <c r="J178" s="11"/>
      <c r="K178" s="50"/>
    </row>
    <row r="179" spans="1:11" x14ac:dyDescent="0.5">
      <c r="A179" s="356"/>
      <c r="B179" s="300">
        <f t="shared" si="17"/>
        <v>38</v>
      </c>
      <c r="C179" s="213">
        <f t="shared" si="18"/>
        <v>0</v>
      </c>
      <c r="D179" s="213">
        <f t="shared" si="19"/>
        <v>0.129</v>
      </c>
      <c r="E179" s="213">
        <f t="shared" si="20"/>
        <v>0.58099999999999996</v>
      </c>
      <c r="F179" s="213">
        <f t="shared" si="21"/>
        <v>0</v>
      </c>
      <c r="G179" s="258" t="str">
        <f t="shared" si="22"/>
        <v>OK</v>
      </c>
      <c r="H179" s="11"/>
      <c r="I179" s="11"/>
      <c r="J179" s="11"/>
      <c r="K179" s="50"/>
    </row>
    <row r="180" spans="1:11" x14ac:dyDescent="0.5">
      <c r="A180" s="356"/>
      <c r="B180" s="300">
        <f t="shared" si="17"/>
        <v>37</v>
      </c>
      <c r="C180" s="213">
        <f t="shared" si="18"/>
        <v>0</v>
      </c>
      <c r="D180" s="213">
        <f t="shared" si="19"/>
        <v>0.129</v>
      </c>
      <c r="E180" s="213">
        <f t="shared" si="20"/>
        <v>0.58099999999999996</v>
      </c>
      <c r="F180" s="213">
        <f t="shared" si="21"/>
        <v>0</v>
      </c>
      <c r="G180" s="258" t="str">
        <f t="shared" si="22"/>
        <v>OK</v>
      </c>
      <c r="H180" s="11"/>
      <c r="I180" s="11"/>
      <c r="J180" s="11"/>
      <c r="K180" s="50"/>
    </row>
    <row r="181" spans="1:11" x14ac:dyDescent="0.5">
      <c r="A181" s="356"/>
      <c r="B181" s="300">
        <f t="shared" si="17"/>
        <v>36</v>
      </c>
      <c r="C181" s="213">
        <f t="shared" si="18"/>
        <v>0</v>
      </c>
      <c r="D181" s="213">
        <f t="shared" si="19"/>
        <v>0.129</v>
      </c>
      <c r="E181" s="213">
        <f t="shared" si="20"/>
        <v>0.58099999999999996</v>
      </c>
      <c r="F181" s="213">
        <f t="shared" si="21"/>
        <v>0</v>
      </c>
      <c r="G181" s="258" t="str">
        <f t="shared" si="22"/>
        <v>OK</v>
      </c>
      <c r="H181" s="11"/>
      <c r="I181" s="11"/>
      <c r="J181" s="11"/>
      <c r="K181" s="50"/>
    </row>
    <row r="182" spans="1:11" x14ac:dyDescent="0.5">
      <c r="A182" s="356"/>
      <c r="B182" s="300">
        <f t="shared" si="17"/>
        <v>35</v>
      </c>
      <c r="C182" s="213">
        <f t="shared" si="18"/>
        <v>0</v>
      </c>
      <c r="D182" s="213">
        <f t="shared" si="19"/>
        <v>0.129</v>
      </c>
      <c r="E182" s="213">
        <f t="shared" si="20"/>
        <v>0.58099999999999996</v>
      </c>
      <c r="F182" s="213">
        <f t="shared" si="21"/>
        <v>0</v>
      </c>
      <c r="G182" s="258" t="str">
        <f t="shared" si="22"/>
        <v>OK</v>
      </c>
      <c r="H182" s="11"/>
      <c r="I182" s="11"/>
      <c r="J182" s="11"/>
      <c r="K182" s="50"/>
    </row>
    <row r="183" spans="1:11" x14ac:dyDescent="0.5">
      <c r="A183" s="356"/>
      <c r="B183" s="300">
        <f t="shared" si="17"/>
        <v>34</v>
      </c>
      <c r="C183" s="213">
        <f t="shared" si="18"/>
        <v>0</v>
      </c>
      <c r="D183" s="213">
        <f t="shared" si="19"/>
        <v>0.129</v>
      </c>
      <c r="E183" s="213">
        <f t="shared" si="20"/>
        <v>0.58099999999999996</v>
      </c>
      <c r="F183" s="213">
        <f t="shared" si="21"/>
        <v>0</v>
      </c>
      <c r="G183" s="258" t="str">
        <f t="shared" si="22"/>
        <v>OK</v>
      </c>
      <c r="H183" s="11"/>
      <c r="I183" s="11"/>
      <c r="J183" s="11"/>
      <c r="K183" s="50"/>
    </row>
    <row r="184" spans="1:11" x14ac:dyDescent="0.5">
      <c r="A184" s="356"/>
      <c r="B184" s="300">
        <f t="shared" si="17"/>
        <v>33</v>
      </c>
      <c r="C184" s="213">
        <f t="shared" si="18"/>
        <v>0</v>
      </c>
      <c r="D184" s="213">
        <f t="shared" si="19"/>
        <v>0.129</v>
      </c>
      <c r="E184" s="213">
        <f t="shared" si="20"/>
        <v>0.58099999999999996</v>
      </c>
      <c r="F184" s="213">
        <f t="shared" si="21"/>
        <v>0</v>
      </c>
      <c r="G184" s="258" t="str">
        <f t="shared" si="22"/>
        <v>OK</v>
      </c>
      <c r="H184" s="11"/>
      <c r="I184" s="11"/>
      <c r="J184" s="11"/>
      <c r="K184" s="50"/>
    </row>
    <row r="185" spans="1:11" x14ac:dyDescent="0.5">
      <c r="A185" s="356"/>
      <c r="B185" s="300">
        <f t="shared" si="17"/>
        <v>32</v>
      </c>
      <c r="C185" s="213">
        <f>ROUND(G69/($I$53),4)</f>
        <v>0</v>
      </c>
      <c r="D185" s="213">
        <f t="shared" si="19"/>
        <v>0.129</v>
      </c>
      <c r="E185" s="213">
        <f t="shared" si="20"/>
        <v>0.58099999999999996</v>
      </c>
      <c r="F185" s="213">
        <f t="shared" si="21"/>
        <v>0</v>
      </c>
      <c r="G185" s="258" t="str">
        <f t="shared" si="22"/>
        <v>OK</v>
      </c>
      <c r="H185" s="11"/>
      <c r="I185" s="11"/>
      <c r="J185" s="11"/>
      <c r="K185" s="50"/>
    </row>
    <row r="186" spans="1:11" x14ac:dyDescent="0.5">
      <c r="A186" s="356"/>
      <c r="B186" s="300">
        <f t="shared" si="17"/>
        <v>31</v>
      </c>
      <c r="C186" s="213">
        <f t="shared" si="18"/>
        <v>0</v>
      </c>
      <c r="D186" s="213">
        <f t="shared" si="19"/>
        <v>0.129</v>
      </c>
      <c r="E186" s="213">
        <f t="shared" si="20"/>
        <v>0.58099999999999996</v>
      </c>
      <c r="F186" s="213">
        <f t="shared" si="21"/>
        <v>0</v>
      </c>
      <c r="G186" s="258" t="str">
        <f t="shared" si="22"/>
        <v>OK</v>
      </c>
      <c r="H186" s="11"/>
      <c r="I186" s="11"/>
      <c r="J186" s="11"/>
      <c r="K186" s="50"/>
    </row>
    <row r="187" spans="1:11" x14ac:dyDescent="0.5">
      <c r="A187" s="356"/>
      <c r="B187" s="300">
        <f t="shared" si="17"/>
        <v>30</v>
      </c>
      <c r="C187" s="213">
        <f t="shared" si="18"/>
        <v>0</v>
      </c>
      <c r="D187" s="213">
        <f t="shared" si="19"/>
        <v>0.129</v>
      </c>
      <c r="E187" s="213">
        <f t="shared" si="20"/>
        <v>0.58099999999999996</v>
      </c>
      <c r="F187" s="213">
        <f t="shared" si="21"/>
        <v>0</v>
      </c>
      <c r="G187" s="258" t="str">
        <f t="shared" si="22"/>
        <v>OK</v>
      </c>
      <c r="H187" s="11"/>
      <c r="I187" s="11"/>
      <c r="J187" s="11"/>
      <c r="K187" s="50"/>
    </row>
    <row r="188" spans="1:11" x14ac:dyDescent="0.5">
      <c r="A188" s="356"/>
      <c r="B188" s="300">
        <f t="shared" si="17"/>
        <v>29</v>
      </c>
      <c r="C188" s="213">
        <f t="shared" si="18"/>
        <v>0</v>
      </c>
      <c r="D188" s="213">
        <f t="shared" si="19"/>
        <v>0.129</v>
      </c>
      <c r="E188" s="213">
        <f t="shared" si="20"/>
        <v>0.58099999999999996</v>
      </c>
      <c r="F188" s="213">
        <f t="shared" si="21"/>
        <v>0</v>
      </c>
      <c r="G188" s="258" t="str">
        <f t="shared" si="22"/>
        <v>OK</v>
      </c>
      <c r="H188" s="11"/>
      <c r="I188" s="11"/>
      <c r="J188" s="11"/>
      <c r="K188" s="50"/>
    </row>
    <row r="189" spans="1:11" x14ac:dyDescent="0.5">
      <c r="A189" s="356"/>
      <c r="B189" s="300">
        <f t="shared" si="17"/>
        <v>28</v>
      </c>
      <c r="C189" s="213">
        <f t="shared" si="18"/>
        <v>0</v>
      </c>
      <c r="D189" s="213">
        <f t="shared" si="19"/>
        <v>0.129</v>
      </c>
      <c r="E189" s="213">
        <f t="shared" si="20"/>
        <v>0.58099999999999996</v>
      </c>
      <c r="F189" s="213">
        <f t="shared" si="21"/>
        <v>0</v>
      </c>
      <c r="G189" s="258" t="str">
        <f t="shared" si="22"/>
        <v>OK</v>
      </c>
      <c r="H189" s="11"/>
      <c r="I189" s="11"/>
      <c r="J189" s="11"/>
      <c r="K189" s="50"/>
    </row>
    <row r="190" spans="1:11" x14ac:dyDescent="0.5">
      <c r="A190" s="356"/>
      <c r="B190" s="300">
        <f t="shared" si="17"/>
        <v>27</v>
      </c>
      <c r="C190" s="213">
        <f t="shared" si="18"/>
        <v>0</v>
      </c>
      <c r="D190" s="213">
        <f t="shared" si="19"/>
        <v>0.129</v>
      </c>
      <c r="E190" s="213">
        <f t="shared" si="20"/>
        <v>0.58099999999999996</v>
      </c>
      <c r="F190" s="213">
        <f t="shared" si="21"/>
        <v>0</v>
      </c>
      <c r="G190" s="258" t="str">
        <f t="shared" si="22"/>
        <v>OK</v>
      </c>
      <c r="H190" s="11"/>
      <c r="I190" s="11"/>
      <c r="J190" s="11"/>
      <c r="K190" s="50"/>
    </row>
    <row r="191" spans="1:11" x14ac:dyDescent="0.5">
      <c r="A191" s="356"/>
      <c r="B191" s="300">
        <f t="shared" si="17"/>
        <v>26</v>
      </c>
      <c r="C191" s="213">
        <f t="shared" si="18"/>
        <v>0</v>
      </c>
      <c r="D191" s="213">
        <f t="shared" si="19"/>
        <v>0.129</v>
      </c>
      <c r="E191" s="213">
        <f t="shared" si="20"/>
        <v>0.58099999999999996</v>
      </c>
      <c r="F191" s="213">
        <f t="shared" si="21"/>
        <v>0</v>
      </c>
      <c r="G191" s="258" t="str">
        <f t="shared" si="22"/>
        <v>OK</v>
      </c>
      <c r="H191" s="11"/>
      <c r="I191" s="11"/>
      <c r="J191" s="11"/>
      <c r="K191" s="50"/>
    </row>
    <row r="192" spans="1:11" x14ac:dyDescent="0.5">
      <c r="A192" s="356"/>
      <c r="B192" s="300">
        <f t="shared" si="17"/>
        <v>25</v>
      </c>
      <c r="C192" s="213">
        <f t="shared" si="18"/>
        <v>0</v>
      </c>
      <c r="D192" s="213">
        <f t="shared" si="19"/>
        <v>0.129</v>
      </c>
      <c r="E192" s="213">
        <f t="shared" si="20"/>
        <v>0.58099999999999996</v>
      </c>
      <c r="F192" s="213">
        <f t="shared" si="21"/>
        <v>0</v>
      </c>
      <c r="G192" s="258" t="str">
        <f t="shared" si="22"/>
        <v>OK</v>
      </c>
      <c r="H192" s="11"/>
      <c r="I192" s="11"/>
      <c r="J192" s="11"/>
      <c r="K192" s="50"/>
    </row>
    <row r="193" spans="1:11" x14ac:dyDescent="0.5">
      <c r="A193" s="356"/>
      <c r="B193" s="300">
        <f t="shared" si="17"/>
        <v>24</v>
      </c>
      <c r="C193" s="213">
        <f t="shared" si="18"/>
        <v>0</v>
      </c>
      <c r="D193" s="213">
        <f t="shared" si="19"/>
        <v>0.129</v>
      </c>
      <c r="E193" s="213">
        <f t="shared" si="20"/>
        <v>0.58099999999999996</v>
      </c>
      <c r="F193" s="213">
        <f t="shared" si="21"/>
        <v>0</v>
      </c>
      <c r="G193" s="258" t="str">
        <f t="shared" si="22"/>
        <v>OK</v>
      </c>
      <c r="H193" s="11"/>
      <c r="I193" s="11"/>
      <c r="J193" s="11"/>
      <c r="K193" s="50"/>
    </row>
    <row r="194" spans="1:11" x14ac:dyDescent="0.5">
      <c r="A194" s="356"/>
      <c r="B194" s="300">
        <f t="shared" si="17"/>
        <v>23</v>
      </c>
      <c r="C194" s="213">
        <f t="shared" si="18"/>
        <v>0</v>
      </c>
      <c r="D194" s="213">
        <f t="shared" si="19"/>
        <v>0.129</v>
      </c>
      <c r="E194" s="213">
        <f t="shared" si="20"/>
        <v>0.58099999999999996</v>
      </c>
      <c r="F194" s="213">
        <f t="shared" si="21"/>
        <v>0</v>
      </c>
      <c r="G194" s="258" t="str">
        <f t="shared" si="22"/>
        <v>OK</v>
      </c>
      <c r="H194" s="11"/>
      <c r="I194" s="11"/>
      <c r="J194" s="11"/>
      <c r="K194" s="50"/>
    </row>
    <row r="195" spans="1:11" x14ac:dyDescent="0.5">
      <c r="A195" s="356"/>
      <c r="B195" s="300">
        <f t="shared" si="17"/>
        <v>22</v>
      </c>
      <c r="C195" s="213">
        <f t="shared" si="18"/>
        <v>0</v>
      </c>
      <c r="D195" s="213">
        <f t="shared" si="19"/>
        <v>0.129</v>
      </c>
      <c r="E195" s="213">
        <f t="shared" si="20"/>
        <v>0.58099999999999996</v>
      </c>
      <c r="F195" s="213">
        <f t="shared" si="21"/>
        <v>0</v>
      </c>
      <c r="G195" s="258" t="str">
        <f t="shared" si="22"/>
        <v>OK</v>
      </c>
      <c r="H195" s="11"/>
      <c r="I195" s="11"/>
      <c r="J195" s="11"/>
      <c r="K195" s="50"/>
    </row>
    <row r="196" spans="1:11" x14ac:dyDescent="0.5">
      <c r="A196" s="356"/>
      <c r="B196" s="300">
        <f t="shared" si="17"/>
        <v>21</v>
      </c>
      <c r="C196" s="213">
        <f t="shared" si="18"/>
        <v>0</v>
      </c>
      <c r="D196" s="213">
        <f t="shared" si="19"/>
        <v>0.129</v>
      </c>
      <c r="E196" s="213">
        <f t="shared" si="20"/>
        <v>0.58099999999999996</v>
      </c>
      <c r="F196" s="213">
        <f t="shared" si="21"/>
        <v>0</v>
      </c>
      <c r="G196" s="258" t="str">
        <f t="shared" si="22"/>
        <v>OK</v>
      </c>
      <c r="H196" s="11"/>
      <c r="I196" s="11"/>
      <c r="J196" s="11"/>
      <c r="K196" s="50"/>
    </row>
    <row r="197" spans="1:11" x14ac:dyDescent="0.5">
      <c r="A197" s="356"/>
      <c r="B197" s="300">
        <f t="shared" si="17"/>
        <v>20</v>
      </c>
      <c r="C197" s="213">
        <f t="shared" si="18"/>
        <v>0</v>
      </c>
      <c r="D197" s="213">
        <f t="shared" si="19"/>
        <v>0.129</v>
      </c>
      <c r="E197" s="213">
        <f t="shared" si="20"/>
        <v>0.58099999999999996</v>
      </c>
      <c r="F197" s="213">
        <f t="shared" si="21"/>
        <v>0</v>
      </c>
      <c r="G197" s="258" t="str">
        <f t="shared" si="22"/>
        <v>OK</v>
      </c>
      <c r="H197" s="11"/>
      <c r="I197" s="11"/>
      <c r="J197" s="11"/>
      <c r="K197" s="50"/>
    </row>
    <row r="198" spans="1:11" x14ac:dyDescent="0.5">
      <c r="A198" s="356"/>
      <c r="B198" s="300">
        <f t="shared" si="17"/>
        <v>19</v>
      </c>
      <c r="C198" s="213">
        <f t="shared" si="18"/>
        <v>0</v>
      </c>
      <c r="D198" s="213">
        <f t="shared" si="19"/>
        <v>0.129</v>
      </c>
      <c r="E198" s="213">
        <f t="shared" si="20"/>
        <v>0.58099999999999996</v>
      </c>
      <c r="F198" s="213">
        <f t="shared" si="21"/>
        <v>0</v>
      </c>
      <c r="G198" s="258" t="str">
        <f t="shared" si="22"/>
        <v>OK</v>
      </c>
      <c r="H198" s="11"/>
      <c r="I198" s="11"/>
      <c r="J198" s="11"/>
      <c r="K198" s="50"/>
    </row>
    <row r="199" spans="1:11" x14ac:dyDescent="0.5">
      <c r="A199" s="356"/>
      <c r="B199" s="300">
        <f t="shared" si="17"/>
        <v>18</v>
      </c>
      <c r="C199" s="213">
        <f t="shared" si="18"/>
        <v>1.1000000000000001E-3</v>
      </c>
      <c r="D199" s="213">
        <f t="shared" si="19"/>
        <v>0.129</v>
      </c>
      <c r="E199" s="213">
        <f t="shared" si="20"/>
        <v>0.58099999999999996</v>
      </c>
      <c r="F199" s="213">
        <f t="shared" si="21"/>
        <v>5.0000000000000044E-3</v>
      </c>
      <c r="G199" s="258" t="str">
        <f t="shared" si="22"/>
        <v>OK</v>
      </c>
      <c r="H199" s="11"/>
      <c r="I199" s="11"/>
      <c r="J199" s="11"/>
      <c r="K199" s="50"/>
    </row>
    <row r="200" spans="1:11" x14ac:dyDescent="0.5">
      <c r="A200" s="356"/>
      <c r="B200" s="300">
        <f t="shared" si="17"/>
        <v>17</v>
      </c>
      <c r="C200" s="213">
        <f t="shared" si="18"/>
        <v>2.0999999999999999E-3</v>
      </c>
      <c r="D200" s="213">
        <f t="shared" si="19"/>
        <v>0.128</v>
      </c>
      <c r="E200" s="213">
        <f t="shared" si="20"/>
        <v>0.57599999999999996</v>
      </c>
      <c r="F200" s="213">
        <f t="shared" si="21"/>
        <v>9.000000000000008E-3</v>
      </c>
      <c r="G200" s="258" t="str">
        <f t="shared" si="22"/>
        <v>OK</v>
      </c>
      <c r="H200" s="11"/>
      <c r="I200" s="11"/>
      <c r="J200" s="11"/>
      <c r="K200" s="50"/>
    </row>
    <row r="201" spans="1:11" x14ac:dyDescent="0.5">
      <c r="A201" s="356"/>
      <c r="B201" s="300">
        <f t="shared" si="17"/>
        <v>16</v>
      </c>
      <c r="C201" s="213">
        <f t="shared" si="18"/>
        <v>3.0999999999999999E-3</v>
      </c>
      <c r="D201" s="213">
        <f t="shared" si="19"/>
        <v>0.126</v>
      </c>
      <c r="E201" s="213">
        <f t="shared" si="20"/>
        <v>0.56699999999999995</v>
      </c>
      <c r="F201" s="213">
        <f t="shared" si="21"/>
        <v>1.2999999999999901E-2</v>
      </c>
      <c r="G201" s="258" t="str">
        <f t="shared" si="22"/>
        <v>OK</v>
      </c>
      <c r="H201" s="11"/>
      <c r="I201" s="11"/>
      <c r="J201" s="11"/>
      <c r="K201" s="50"/>
    </row>
    <row r="202" spans="1:11" x14ac:dyDescent="0.5">
      <c r="A202" s="356"/>
      <c r="B202" s="300">
        <f t="shared" si="17"/>
        <v>15</v>
      </c>
      <c r="C202" s="213">
        <f t="shared" si="18"/>
        <v>4.0000000000000001E-3</v>
      </c>
      <c r="D202" s="213">
        <f t="shared" si="19"/>
        <v>0.123</v>
      </c>
      <c r="E202" s="213">
        <f t="shared" si="20"/>
        <v>0.55400000000000005</v>
      </c>
      <c r="F202" s="213">
        <f t="shared" si="21"/>
        <v>1.8000000000000016E-2</v>
      </c>
      <c r="G202" s="258" t="str">
        <f t="shared" si="22"/>
        <v>OK</v>
      </c>
      <c r="H202" s="11"/>
      <c r="I202" s="11"/>
      <c r="J202" s="11"/>
      <c r="K202" s="50"/>
    </row>
    <row r="203" spans="1:11" x14ac:dyDescent="0.5">
      <c r="A203" s="356"/>
      <c r="B203" s="300">
        <f t="shared" si="17"/>
        <v>14</v>
      </c>
      <c r="C203" s="213">
        <f t="shared" si="18"/>
        <v>4.8999999999999998E-3</v>
      </c>
      <c r="D203" s="213">
        <f t="shared" si="19"/>
        <v>0.11899999999999999</v>
      </c>
      <c r="E203" s="213">
        <f t="shared" si="20"/>
        <v>0.53600000000000003</v>
      </c>
      <c r="F203" s="213">
        <f t="shared" si="21"/>
        <v>2.300000000000002E-2</v>
      </c>
      <c r="G203" s="258" t="str">
        <f t="shared" si="22"/>
        <v>OK</v>
      </c>
      <c r="H203" s="11"/>
      <c r="I203" s="11"/>
      <c r="J203" s="11"/>
      <c r="K203" s="50"/>
    </row>
    <row r="204" spans="1:11" x14ac:dyDescent="0.5">
      <c r="A204" s="356"/>
      <c r="B204" s="300">
        <f t="shared" si="17"/>
        <v>13</v>
      </c>
      <c r="C204" s="213">
        <f t="shared" si="18"/>
        <v>5.5999999999999999E-3</v>
      </c>
      <c r="D204" s="213">
        <f t="shared" si="19"/>
        <v>0.114</v>
      </c>
      <c r="E204" s="213">
        <f t="shared" si="20"/>
        <v>0.51300000000000001</v>
      </c>
      <c r="F204" s="213">
        <f t="shared" si="21"/>
        <v>2.7000000000000024E-2</v>
      </c>
      <c r="G204" s="258" t="str">
        <f t="shared" si="22"/>
        <v>OK</v>
      </c>
      <c r="H204" s="11"/>
      <c r="I204" s="11"/>
      <c r="J204" s="11"/>
      <c r="K204" s="50"/>
    </row>
    <row r="205" spans="1:11" x14ac:dyDescent="0.5">
      <c r="A205" s="356"/>
      <c r="B205" s="300">
        <f t="shared" si="17"/>
        <v>12</v>
      </c>
      <c r="C205" s="213">
        <f t="shared" si="18"/>
        <v>6.4000000000000003E-3</v>
      </c>
      <c r="D205" s="213">
        <f>IF(B205=B206+1,ROUND((C205+D206),3),IF(B205=0,0))</f>
        <v>0.108</v>
      </c>
      <c r="E205" s="213">
        <f>IF(B205=B206+1,ROUND(+$J$28*(SUM(D205))/($G$26),3),IF(B205=0,0))</f>
        <v>0.48599999999999999</v>
      </c>
      <c r="F205" s="213">
        <f>+IF(B205=0,0,IF(B205&gt;0,(E205-E206)))</f>
        <v>2.6999999999999968E-2</v>
      </c>
      <c r="G205" s="258" t="str">
        <f t="shared" si="22"/>
        <v>OK</v>
      </c>
      <c r="H205" s="11"/>
      <c r="I205" s="11"/>
      <c r="J205" s="11"/>
      <c r="K205" s="50"/>
    </row>
    <row r="206" spans="1:11" x14ac:dyDescent="0.5">
      <c r="A206" s="356"/>
      <c r="B206" s="300">
        <f t="shared" si="17"/>
        <v>11</v>
      </c>
      <c r="C206" s="213">
        <f t="shared" si="18"/>
        <v>7.0000000000000001E-3</v>
      </c>
      <c r="D206" s="213">
        <f t="shared" ref="D206:D214" si="23">IF(B206=B207+1,ROUND((C206+D207),3),IF(B206=0,0))</f>
        <v>0.10199999999999999</v>
      </c>
      <c r="E206" s="213">
        <f t="shared" ref="E206:E209" si="24">IF(B206=B207+1,ROUND(+$J$28*(SUM(D206))/($G$26),3),IF(B206=0,0))</f>
        <v>0.45900000000000002</v>
      </c>
      <c r="F206" s="213">
        <f t="shared" si="21"/>
        <v>3.1000000000000028E-2</v>
      </c>
      <c r="G206" s="258" t="str">
        <f t="shared" si="22"/>
        <v>OK</v>
      </c>
      <c r="H206" s="11"/>
      <c r="I206" s="11"/>
      <c r="J206" s="11"/>
      <c r="K206" s="50"/>
    </row>
    <row r="207" spans="1:11" x14ac:dyDescent="0.5">
      <c r="A207" s="356"/>
      <c r="B207" s="300">
        <f t="shared" si="17"/>
        <v>10</v>
      </c>
      <c r="C207" s="213">
        <f t="shared" si="18"/>
        <v>7.6E-3</v>
      </c>
      <c r="D207" s="213">
        <f t="shared" si="23"/>
        <v>9.5000000000000001E-2</v>
      </c>
      <c r="E207" s="213">
        <f t="shared" si="24"/>
        <v>0.42799999999999999</v>
      </c>
      <c r="F207" s="213">
        <f t="shared" si="21"/>
        <v>3.5999999999999976E-2</v>
      </c>
      <c r="G207" s="258" t="str">
        <f t="shared" si="22"/>
        <v>OK</v>
      </c>
      <c r="H207" s="11"/>
      <c r="I207" s="11"/>
      <c r="J207" s="11"/>
      <c r="K207" s="50"/>
    </row>
    <row r="208" spans="1:11" x14ac:dyDescent="0.5">
      <c r="A208" s="356"/>
      <c r="B208" s="300">
        <f t="shared" si="17"/>
        <v>9</v>
      </c>
      <c r="C208" s="213">
        <f t="shared" si="18"/>
        <v>8.2000000000000007E-3</v>
      </c>
      <c r="D208" s="213">
        <f t="shared" si="23"/>
        <v>8.6999999999999994E-2</v>
      </c>
      <c r="E208" s="213">
        <f t="shared" si="24"/>
        <v>0.39200000000000002</v>
      </c>
      <c r="F208" s="213">
        <f t="shared" si="21"/>
        <v>3.6000000000000032E-2</v>
      </c>
      <c r="G208" s="258" t="str">
        <f t="shared" si="22"/>
        <v>OK</v>
      </c>
      <c r="H208" s="11"/>
      <c r="I208" s="11"/>
      <c r="J208" s="11"/>
      <c r="K208" s="50"/>
    </row>
    <row r="209" spans="1:11" x14ac:dyDescent="0.5">
      <c r="A209" s="356"/>
      <c r="B209" s="300">
        <f t="shared" si="17"/>
        <v>8</v>
      </c>
      <c r="C209" s="213">
        <f t="shared" si="18"/>
        <v>8.6999999999999994E-3</v>
      </c>
      <c r="D209" s="213">
        <f t="shared" si="23"/>
        <v>7.9000000000000001E-2</v>
      </c>
      <c r="E209" s="213">
        <f t="shared" si="24"/>
        <v>0.35599999999999998</v>
      </c>
      <c r="F209" s="213">
        <f t="shared" si="21"/>
        <v>4.0999999999999981E-2</v>
      </c>
      <c r="G209" s="258" t="str">
        <f t="shared" si="22"/>
        <v>OK</v>
      </c>
      <c r="H209" s="11"/>
      <c r="I209" s="11"/>
      <c r="J209" s="11"/>
      <c r="K209" s="50"/>
    </row>
    <row r="210" spans="1:11" x14ac:dyDescent="0.5">
      <c r="A210" s="356"/>
      <c r="B210" s="300">
        <f t="shared" si="17"/>
        <v>7</v>
      </c>
      <c r="C210" s="213">
        <f t="shared" si="18"/>
        <v>9.1000000000000004E-3</v>
      </c>
      <c r="D210" s="216">
        <f t="shared" si="23"/>
        <v>7.0000000000000007E-2</v>
      </c>
      <c r="E210" s="213">
        <f>IF(B210=B211+1,ROUND(+$J$28*(SUM(D210))/($G$26),3),IF(B210=0,0))</f>
        <v>0.315</v>
      </c>
      <c r="F210" s="213">
        <f t="shared" si="21"/>
        <v>3.999999999999998E-2</v>
      </c>
      <c r="G210" s="258" t="str">
        <f t="shared" si="22"/>
        <v>OK</v>
      </c>
      <c r="H210" s="11"/>
      <c r="I210" s="11"/>
      <c r="J210" s="11"/>
      <c r="K210" s="50"/>
    </row>
    <row r="211" spans="1:11" x14ac:dyDescent="0.5">
      <c r="A211" s="356"/>
      <c r="B211" s="300">
        <f t="shared" si="17"/>
        <v>6</v>
      </c>
      <c r="C211" s="213">
        <f t="shared" si="18"/>
        <v>9.4999999999999998E-3</v>
      </c>
      <c r="D211" s="213">
        <f t="shared" si="23"/>
        <v>6.0999999999999999E-2</v>
      </c>
      <c r="E211" s="213">
        <f t="shared" ref="E211:E214" si="25">IF(B211=B212+1,ROUND(+$J$28*(SUM(D211))/($G$26),3),IF(B211=0,0))</f>
        <v>0.27500000000000002</v>
      </c>
      <c r="F211" s="213">
        <f t="shared" si="21"/>
        <v>4.5000000000000012E-2</v>
      </c>
      <c r="G211" s="258" t="str">
        <f t="shared" si="22"/>
        <v>OK</v>
      </c>
      <c r="H211" s="11"/>
      <c r="I211" s="11"/>
      <c r="J211" s="11"/>
      <c r="K211" s="50"/>
    </row>
    <row r="212" spans="1:11" x14ac:dyDescent="0.5">
      <c r="A212" s="356"/>
      <c r="B212" s="300">
        <f t="shared" si="17"/>
        <v>5</v>
      </c>
      <c r="C212" s="213">
        <f t="shared" si="18"/>
        <v>9.7999999999999997E-3</v>
      </c>
      <c r="D212" s="213">
        <f t="shared" si="23"/>
        <v>5.0999999999999997E-2</v>
      </c>
      <c r="E212" s="213">
        <f t="shared" si="25"/>
        <v>0.23</v>
      </c>
      <c r="F212" s="213">
        <f t="shared" si="21"/>
        <v>4.5000000000000012E-2</v>
      </c>
      <c r="G212" s="258" t="str">
        <f t="shared" si="22"/>
        <v>OK</v>
      </c>
      <c r="H212" s="11"/>
      <c r="I212" s="11"/>
      <c r="J212" s="11"/>
      <c r="K212" s="50"/>
    </row>
    <row r="213" spans="1:11" x14ac:dyDescent="0.5">
      <c r="A213" s="356"/>
      <c r="B213" s="300">
        <f t="shared" si="17"/>
        <v>4</v>
      </c>
      <c r="C213" s="213">
        <f t="shared" si="18"/>
        <v>0.01</v>
      </c>
      <c r="D213" s="213">
        <f t="shared" si="23"/>
        <v>4.1000000000000002E-2</v>
      </c>
      <c r="E213" s="213">
        <f t="shared" si="25"/>
        <v>0.185</v>
      </c>
      <c r="F213" s="213">
        <f t="shared" si="21"/>
        <v>4.4999999999999984E-2</v>
      </c>
      <c r="G213" s="258" t="str">
        <f t="shared" si="22"/>
        <v>OK</v>
      </c>
      <c r="H213" s="11"/>
      <c r="I213" s="11"/>
      <c r="J213" s="11"/>
      <c r="K213" s="50"/>
    </row>
    <row r="214" spans="1:11" x14ac:dyDescent="0.5">
      <c r="A214" s="356"/>
      <c r="B214" s="300">
        <f t="shared" si="17"/>
        <v>3</v>
      </c>
      <c r="C214" s="213">
        <f t="shared" si="18"/>
        <v>1.0200000000000001E-2</v>
      </c>
      <c r="D214" s="213">
        <f t="shared" si="23"/>
        <v>3.1E-2</v>
      </c>
      <c r="E214" s="213">
        <f t="shared" si="25"/>
        <v>0.14000000000000001</v>
      </c>
      <c r="F214" s="213">
        <f t="shared" si="21"/>
        <v>4.5000000000000012E-2</v>
      </c>
      <c r="G214" s="258" t="str">
        <f t="shared" si="22"/>
        <v>OK</v>
      </c>
      <c r="H214" s="11"/>
      <c r="I214" s="11"/>
      <c r="J214" s="11"/>
      <c r="K214" s="50"/>
    </row>
    <row r="215" spans="1:11" x14ac:dyDescent="0.5">
      <c r="A215" s="356"/>
      <c r="B215" s="300">
        <f t="shared" si="17"/>
        <v>2</v>
      </c>
      <c r="C215" s="213">
        <f t="shared" si="18"/>
        <v>1.03E-2</v>
      </c>
      <c r="D215" s="213">
        <f>IF(B215=B216+1,ROUND((C215+D216),3),IF(B215=0,0))</f>
        <v>2.1000000000000001E-2</v>
      </c>
      <c r="E215" s="213">
        <f>IF(B215=B216+1,ROUND(+$J$28*(SUM(D215))/($G$26),3),IF(B215=0,0))</f>
        <v>9.5000000000000001E-2</v>
      </c>
      <c r="F215" s="213">
        <f>+IF(B215=0,0,IF(B215&gt;0,(E215-E216)))</f>
        <v>4.8000000000000001E-2</v>
      </c>
      <c r="G215" s="258" t="str">
        <f t="shared" si="22"/>
        <v>OK</v>
      </c>
      <c r="H215" s="11"/>
      <c r="I215" s="11"/>
      <c r="J215" s="11"/>
      <c r="K215" s="50"/>
    </row>
    <row r="216" spans="1:11" x14ac:dyDescent="0.5">
      <c r="A216" s="356"/>
      <c r="B216" s="300">
        <f>+B160</f>
        <v>1</v>
      </c>
      <c r="C216" s="213">
        <f t="shared" si="18"/>
        <v>1.04E-2</v>
      </c>
      <c r="D216" s="213">
        <f>+C216</f>
        <v>1.04E-2</v>
      </c>
      <c r="E216" s="213">
        <f>IF(B216=1,ROUND(+$J$28*(SUM(C216))/($G$26),3),IF(B216=0,0))</f>
        <v>4.7E-2</v>
      </c>
      <c r="F216" s="213">
        <f>+E216</f>
        <v>4.7E-2</v>
      </c>
      <c r="G216" s="258" t="str">
        <f>+IF(F216&lt;(0.01*($H$4*100)),"OK","NO")</f>
        <v>OK</v>
      </c>
      <c r="H216" s="11"/>
      <c r="I216" s="11"/>
      <c r="J216" s="11"/>
      <c r="K216" s="50"/>
    </row>
    <row r="217" spans="1:11" x14ac:dyDescent="0.5">
      <c r="A217" s="356"/>
      <c r="B217" s="11"/>
      <c r="C217" s="11"/>
      <c r="D217" s="11"/>
      <c r="E217" s="11"/>
      <c r="F217" s="11"/>
      <c r="G217" s="11"/>
      <c r="H217" s="11"/>
      <c r="I217" s="11"/>
      <c r="J217" s="11"/>
      <c r="K217" s="50"/>
    </row>
    <row r="218" spans="1:11" x14ac:dyDescent="0.5">
      <c r="A218" s="356"/>
      <c r="B218" s="11"/>
      <c r="C218" s="11"/>
      <c r="D218" s="11"/>
      <c r="E218" s="11"/>
      <c r="F218" s="11"/>
      <c r="G218" s="11"/>
      <c r="H218" s="11"/>
      <c r="I218" s="11"/>
      <c r="J218" s="11"/>
      <c r="K218" s="50"/>
    </row>
    <row r="219" spans="1:11" x14ac:dyDescent="0.5">
      <c r="A219" s="356"/>
      <c r="B219" s="11"/>
      <c r="C219" s="11"/>
      <c r="D219" s="11"/>
      <c r="E219" s="11"/>
      <c r="F219" s="11"/>
      <c r="G219" s="11"/>
      <c r="H219" s="11"/>
      <c r="I219" s="11"/>
      <c r="J219" s="11"/>
      <c r="K219" s="50"/>
    </row>
    <row r="220" spans="1:11" x14ac:dyDescent="0.5">
      <c r="A220" s="356"/>
      <c r="B220" s="11"/>
      <c r="C220" s="11"/>
      <c r="D220" s="11"/>
      <c r="E220" s="11"/>
      <c r="F220" s="11"/>
      <c r="G220" s="11"/>
      <c r="H220" s="11"/>
      <c r="I220" s="11"/>
      <c r="J220" s="11"/>
      <c r="K220" s="50"/>
    </row>
    <row r="221" spans="1:11" x14ac:dyDescent="0.5">
      <c r="A221" s="356"/>
      <c r="B221" s="11"/>
      <c r="C221" s="11"/>
      <c r="D221" s="11"/>
      <c r="E221" s="11"/>
      <c r="F221" s="11"/>
      <c r="G221" s="11"/>
      <c r="H221" s="11"/>
      <c r="I221" s="11"/>
      <c r="J221" s="11"/>
      <c r="K221" s="50"/>
    </row>
    <row r="222" spans="1:11" x14ac:dyDescent="0.5">
      <c r="A222" s="356"/>
      <c r="B222" s="11"/>
      <c r="C222" s="11"/>
      <c r="D222" s="11"/>
      <c r="E222" s="11"/>
      <c r="F222" s="11"/>
      <c r="G222" s="11"/>
      <c r="H222" s="11"/>
      <c r="I222" s="11"/>
      <c r="J222" s="11"/>
      <c r="K222" s="50"/>
    </row>
    <row r="223" spans="1:11" x14ac:dyDescent="0.5">
      <c r="A223" s="356"/>
      <c r="B223" s="11"/>
      <c r="C223" s="11"/>
      <c r="D223" s="11"/>
      <c r="E223" s="11"/>
      <c r="F223" s="11"/>
      <c r="G223" s="11"/>
      <c r="H223" s="11"/>
      <c r="I223" s="11"/>
      <c r="J223" s="11"/>
      <c r="K223" s="50"/>
    </row>
    <row r="224" spans="1:11" x14ac:dyDescent="0.5">
      <c r="A224" s="356"/>
      <c r="B224" s="11"/>
      <c r="C224" s="11"/>
      <c r="D224" s="11"/>
      <c r="E224" s="11"/>
      <c r="F224" s="11"/>
      <c r="G224" s="11"/>
      <c r="H224" s="11"/>
      <c r="I224" s="11"/>
      <c r="J224" s="11"/>
      <c r="K224" s="50"/>
    </row>
    <row r="225" spans="1:11" x14ac:dyDescent="0.5">
      <c r="A225" s="356"/>
      <c r="B225" s="11"/>
      <c r="C225" s="11"/>
      <c r="D225" s="11"/>
      <c r="E225" s="11"/>
      <c r="F225" s="11"/>
      <c r="G225" s="11"/>
      <c r="H225" s="11"/>
      <c r="I225" s="11"/>
      <c r="J225" s="11"/>
      <c r="K225" s="50"/>
    </row>
    <row r="226" spans="1:11" x14ac:dyDescent="0.5">
      <c r="A226" s="357"/>
      <c r="B226" s="11"/>
      <c r="C226" s="11"/>
      <c r="D226" s="11"/>
      <c r="E226" s="11"/>
      <c r="F226" s="11"/>
      <c r="G226" s="11"/>
      <c r="H226" s="11"/>
      <c r="I226" s="11"/>
      <c r="J226" s="11"/>
      <c r="K226" s="50"/>
    </row>
    <row r="227" spans="1:11" x14ac:dyDescent="0.5">
      <c r="A227" s="374" t="s">
        <v>345</v>
      </c>
      <c r="B227" s="375"/>
      <c r="C227" s="375"/>
      <c r="D227" s="375"/>
      <c r="E227" s="375"/>
      <c r="F227" s="375"/>
      <c r="G227" s="375"/>
      <c r="H227" s="375"/>
      <c r="I227" s="375"/>
      <c r="J227" s="375"/>
      <c r="K227" s="376"/>
    </row>
    <row r="228" spans="1:11" x14ac:dyDescent="0.5">
      <c r="A228" s="377"/>
      <c r="B228" s="378"/>
      <c r="C228" s="378"/>
      <c r="D228" s="378"/>
      <c r="E228" s="378"/>
      <c r="F228" s="378"/>
      <c r="G228" s="378"/>
      <c r="H228" s="378"/>
      <c r="I228" s="378"/>
      <c r="J228" s="378"/>
      <c r="K228" s="379"/>
    </row>
    <row r="229" spans="1:11" x14ac:dyDescent="0.5">
      <c r="A229" s="358" t="s">
        <v>397</v>
      </c>
      <c r="B229" s="397" t="s">
        <v>341</v>
      </c>
      <c r="C229" s="398"/>
      <c r="D229" s="398"/>
      <c r="E229" s="398"/>
      <c r="F229" s="398"/>
      <c r="G229" s="398"/>
      <c r="H229" s="398"/>
      <c r="I229" s="398"/>
      <c r="J229" s="398"/>
      <c r="K229" s="399"/>
    </row>
    <row r="230" spans="1:11" x14ac:dyDescent="0.5">
      <c r="A230" s="359"/>
      <c r="B230" s="122" t="s">
        <v>106</v>
      </c>
      <c r="C230" s="11"/>
      <c r="D230" s="11"/>
      <c r="E230" s="11"/>
      <c r="F230" s="11"/>
      <c r="G230" s="11"/>
      <c r="H230" s="11"/>
      <c r="I230" s="11"/>
      <c r="J230" s="11"/>
      <c r="K230" s="50"/>
    </row>
    <row r="231" spans="1:11" x14ac:dyDescent="0.5">
      <c r="A231" s="359"/>
      <c r="B231" s="122" t="s">
        <v>107</v>
      </c>
      <c r="C231" s="11"/>
      <c r="D231" s="11"/>
      <c r="E231" s="11"/>
      <c r="F231" s="11"/>
      <c r="G231" s="11"/>
      <c r="H231" s="11"/>
      <c r="I231" s="11"/>
      <c r="J231" s="11"/>
      <c r="K231" s="50"/>
    </row>
    <row r="232" spans="1:11" x14ac:dyDescent="0.5">
      <c r="A232" s="359"/>
      <c r="B232" s="259" t="s">
        <v>351</v>
      </c>
      <c r="C232" s="122"/>
      <c r="D232" s="11"/>
      <c r="E232" s="11"/>
      <c r="F232" s="11"/>
      <c r="G232" s="11"/>
      <c r="H232" s="11"/>
      <c r="I232" s="11"/>
      <c r="J232" s="11"/>
      <c r="K232" s="50"/>
    </row>
    <row r="233" spans="1:11" x14ac:dyDescent="0.5">
      <c r="A233" s="359"/>
      <c r="B233" s="122" t="s">
        <v>108</v>
      </c>
      <c r="C233" s="11"/>
      <c r="D233" s="11"/>
      <c r="E233" s="11"/>
      <c r="F233" s="11"/>
      <c r="G233" s="11"/>
      <c r="H233" s="11"/>
      <c r="I233" s="11"/>
      <c r="J233" s="11"/>
      <c r="K233" s="50"/>
    </row>
    <row r="234" spans="1:11" ht="24" thickBot="1" x14ac:dyDescent="0.55000000000000004">
      <c r="A234" s="359"/>
      <c r="B234" s="122"/>
      <c r="C234" s="11"/>
      <c r="D234" s="11"/>
      <c r="E234" s="11"/>
      <c r="F234" s="11"/>
      <c r="G234" s="11"/>
      <c r="H234" s="11"/>
      <c r="I234" s="11"/>
      <c r="J234" s="11"/>
      <c r="K234" s="50"/>
    </row>
    <row r="235" spans="1:11" ht="24" x14ac:dyDescent="0.5">
      <c r="A235" s="359"/>
      <c r="B235" s="295" t="s">
        <v>22</v>
      </c>
      <c r="C235" s="268" t="s">
        <v>342</v>
      </c>
      <c r="D235" s="268" t="s">
        <v>343</v>
      </c>
      <c r="E235" s="268" t="s">
        <v>109</v>
      </c>
      <c r="F235" s="269" t="s">
        <v>338</v>
      </c>
      <c r="G235" s="270" t="s">
        <v>110</v>
      </c>
      <c r="H235" s="11"/>
      <c r="I235" s="11"/>
      <c r="J235" s="11"/>
      <c r="K235" s="50"/>
    </row>
    <row r="236" spans="1:11" x14ac:dyDescent="0.5">
      <c r="A236" s="359"/>
      <c r="B236" s="322">
        <f t="shared" ref="B236:B274" si="26">+B177</f>
        <v>40</v>
      </c>
      <c r="C236" s="315">
        <f t="shared" ref="C236:C275" si="27">+G61</f>
        <v>0</v>
      </c>
      <c r="D236" s="315">
        <f t="shared" ref="D236:D275" si="28">+C61</f>
        <v>0</v>
      </c>
      <c r="E236" s="315">
        <f>+D236</f>
        <v>0</v>
      </c>
      <c r="F236" s="281">
        <f t="shared" ref="F236:F275" si="29">+F177</f>
        <v>0</v>
      </c>
      <c r="G236" s="180">
        <f t="shared" ref="G236:G275" si="30">ROUND(IF(C236=0,0,IF(C236&gt;0,E236*F236/(C236*($H$4*100)*$J$28))),8)</f>
        <v>0</v>
      </c>
      <c r="H236" s="47" t="str">
        <f t="shared" ref="H236:H274" si="31">+IF(G236&lt;0.1,"OK","NO")&amp;"&lt;0.1"</f>
        <v>OK&lt;0.1</v>
      </c>
      <c r="I236" s="11"/>
      <c r="J236" s="11"/>
      <c r="K236" s="50"/>
    </row>
    <row r="237" spans="1:11" x14ac:dyDescent="0.5">
      <c r="A237" s="359"/>
      <c r="B237" s="322">
        <f t="shared" si="26"/>
        <v>39</v>
      </c>
      <c r="C237" s="315">
        <f t="shared" si="27"/>
        <v>0</v>
      </c>
      <c r="D237" s="315">
        <f t="shared" si="28"/>
        <v>0</v>
      </c>
      <c r="E237" s="315">
        <f>+E236+D237</f>
        <v>0</v>
      </c>
      <c r="F237" s="281">
        <f t="shared" si="29"/>
        <v>0</v>
      </c>
      <c r="G237" s="180">
        <f t="shared" si="30"/>
        <v>0</v>
      </c>
      <c r="H237" s="47" t="str">
        <f t="shared" si="31"/>
        <v>OK&lt;0.1</v>
      </c>
      <c r="I237" s="11"/>
      <c r="J237" s="11"/>
      <c r="K237" s="50"/>
    </row>
    <row r="238" spans="1:11" x14ac:dyDescent="0.5">
      <c r="A238" s="359"/>
      <c r="B238" s="322">
        <f t="shared" si="26"/>
        <v>38</v>
      </c>
      <c r="C238" s="315">
        <f t="shared" si="27"/>
        <v>0</v>
      </c>
      <c r="D238" s="315">
        <f t="shared" si="28"/>
        <v>0</v>
      </c>
      <c r="E238" s="315">
        <f t="shared" ref="E238:E275" si="32">+E237+D238</f>
        <v>0</v>
      </c>
      <c r="F238" s="281">
        <f t="shared" si="29"/>
        <v>0</v>
      </c>
      <c r="G238" s="180">
        <f t="shared" si="30"/>
        <v>0</v>
      </c>
      <c r="H238" s="47" t="str">
        <f t="shared" si="31"/>
        <v>OK&lt;0.1</v>
      </c>
      <c r="I238" s="11"/>
      <c r="J238" s="11"/>
      <c r="K238" s="50"/>
    </row>
    <row r="239" spans="1:11" x14ac:dyDescent="0.5">
      <c r="A239" s="359"/>
      <c r="B239" s="322">
        <f t="shared" si="26"/>
        <v>37</v>
      </c>
      <c r="C239" s="315">
        <f t="shared" si="27"/>
        <v>0</v>
      </c>
      <c r="D239" s="315">
        <f t="shared" si="28"/>
        <v>0</v>
      </c>
      <c r="E239" s="315">
        <f t="shared" si="32"/>
        <v>0</v>
      </c>
      <c r="F239" s="281">
        <f t="shared" si="29"/>
        <v>0</v>
      </c>
      <c r="G239" s="180">
        <f t="shared" si="30"/>
        <v>0</v>
      </c>
      <c r="H239" s="47" t="str">
        <f t="shared" si="31"/>
        <v>OK&lt;0.1</v>
      </c>
      <c r="I239" s="11"/>
      <c r="J239" s="11"/>
      <c r="K239" s="50"/>
    </row>
    <row r="240" spans="1:11" x14ac:dyDescent="0.5">
      <c r="A240" s="359"/>
      <c r="B240" s="322">
        <f t="shared" si="26"/>
        <v>36</v>
      </c>
      <c r="C240" s="315">
        <f t="shared" si="27"/>
        <v>0</v>
      </c>
      <c r="D240" s="315">
        <f t="shared" si="28"/>
        <v>0</v>
      </c>
      <c r="E240" s="315">
        <f t="shared" si="32"/>
        <v>0</v>
      </c>
      <c r="F240" s="281">
        <f t="shared" si="29"/>
        <v>0</v>
      </c>
      <c r="G240" s="180">
        <f t="shared" si="30"/>
        <v>0</v>
      </c>
      <c r="H240" s="47" t="str">
        <f t="shared" si="31"/>
        <v>OK&lt;0.1</v>
      </c>
      <c r="I240" s="11"/>
      <c r="J240" s="11"/>
      <c r="K240" s="50"/>
    </row>
    <row r="241" spans="1:11" x14ac:dyDescent="0.5">
      <c r="A241" s="359"/>
      <c r="B241" s="322">
        <f t="shared" si="26"/>
        <v>35</v>
      </c>
      <c r="C241" s="315">
        <f t="shared" si="27"/>
        <v>0</v>
      </c>
      <c r="D241" s="315">
        <f t="shared" si="28"/>
        <v>0</v>
      </c>
      <c r="E241" s="315">
        <f t="shared" si="32"/>
        <v>0</v>
      </c>
      <c r="F241" s="281">
        <f t="shared" si="29"/>
        <v>0</v>
      </c>
      <c r="G241" s="180">
        <f t="shared" si="30"/>
        <v>0</v>
      </c>
      <c r="H241" s="47" t="str">
        <f t="shared" si="31"/>
        <v>OK&lt;0.1</v>
      </c>
      <c r="I241" s="11"/>
      <c r="J241" s="11"/>
      <c r="K241" s="50"/>
    </row>
    <row r="242" spans="1:11" x14ac:dyDescent="0.5">
      <c r="A242" s="359"/>
      <c r="B242" s="322">
        <f t="shared" si="26"/>
        <v>34</v>
      </c>
      <c r="C242" s="315">
        <f t="shared" si="27"/>
        <v>0</v>
      </c>
      <c r="D242" s="315">
        <f t="shared" si="28"/>
        <v>0</v>
      </c>
      <c r="E242" s="315">
        <f t="shared" si="32"/>
        <v>0</v>
      </c>
      <c r="F242" s="281">
        <f t="shared" si="29"/>
        <v>0</v>
      </c>
      <c r="G242" s="180">
        <f t="shared" si="30"/>
        <v>0</v>
      </c>
      <c r="H242" s="47" t="str">
        <f t="shared" si="31"/>
        <v>OK&lt;0.1</v>
      </c>
      <c r="I242" s="11"/>
      <c r="J242" s="11"/>
      <c r="K242" s="50"/>
    </row>
    <row r="243" spans="1:11" x14ac:dyDescent="0.5">
      <c r="A243" s="359"/>
      <c r="B243" s="322">
        <f t="shared" si="26"/>
        <v>33</v>
      </c>
      <c r="C243" s="315">
        <f t="shared" si="27"/>
        <v>0</v>
      </c>
      <c r="D243" s="315">
        <f t="shared" si="28"/>
        <v>0</v>
      </c>
      <c r="E243" s="315">
        <f t="shared" si="32"/>
        <v>0</v>
      </c>
      <c r="F243" s="281">
        <f t="shared" si="29"/>
        <v>0</v>
      </c>
      <c r="G243" s="180">
        <f t="shared" si="30"/>
        <v>0</v>
      </c>
      <c r="H243" s="47" t="str">
        <f t="shared" si="31"/>
        <v>OK&lt;0.1</v>
      </c>
      <c r="I243" s="11"/>
      <c r="J243" s="11"/>
      <c r="K243" s="50"/>
    </row>
    <row r="244" spans="1:11" x14ac:dyDescent="0.5">
      <c r="A244" s="359"/>
      <c r="B244" s="322">
        <f t="shared" si="26"/>
        <v>32</v>
      </c>
      <c r="C244" s="315">
        <f t="shared" si="27"/>
        <v>0</v>
      </c>
      <c r="D244" s="315">
        <f t="shared" si="28"/>
        <v>0</v>
      </c>
      <c r="E244" s="315">
        <f t="shared" si="32"/>
        <v>0</v>
      </c>
      <c r="F244" s="281">
        <f t="shared" si="29"/>
        <v>0</v>
      </c>
      <c r="G244" s="180">
        <f t="shared" si="30"/>
        <v>0</v>
      </c>
      <c r="H244" s="47" t="str">
        <f t="shared" si="31"/>
        <v>OK&lt;0.1</v>
      </c>
      <c r="I244" s="11"/>
      <c r="J244" s="11"/>
      <c r="K244" s="50"/>
    </row>
    <row r="245" spans="1:11" x14ac:dyDescent="0.5">
      <c r="A245" s="359"/>
      <c r="B245" s="322">
        <f t="shared" si="26"/>
        <v>31</v>
      </c>
      <c r="C245" s="315">
        <f t="shared" si="27"/>
        <v>0</v>
      </c>
      <c r="D245" s="315">
        <f t="shared" si="28"/>
        <v>0</v>
      </c>
      <c r="E245" s="315">
        <f t="shared" si="32"/>
        <v>0</v>
      </c>
      <c r="F245" s="281">
        <f t="shared" si="29"/>
        <v>0</v>
      </c>
      <c r="G245" s="180">
        <f t="shared" si="30"/>
        <v>0</v>
      </c>
      <c r="H245" s="47" t="str">
        <f t="shared" si="31"/>
        <v>OK&lt;0.1</v>
      </c>
      <c r="I245" s="11"/>
      <c r="J245" s="11"/>
      <c r="K245" s="50"/>
    </row>
    <row r="246" spans="1:11" x14ac:dyDescent="0.5">
      <c r="A246" s="359"/>
      <c r="B246" s="322">
        <f t="shared" si="26"/>
        <v>30</v>
      </c>
      <c r="C246" s="315">
        <f t="shared" si="27"/>
        <v>0</v>
      </c>
      <c r="D246" s="315">
        <f t="shared" si="28"/>
        <v>0</v>
      </c>
      <c r="E246" s="315">
        <f t="shared" si="32"/>
        <v>0</v>
      </c>
      <c r="F246" s="281">
        <f t="shared" si="29"/>
        <v>0</v>
      </c>
      <c r="G246" s="180">
        <f t="shared" si="30"/>
        <v>0</v>
      </c>
      <c r="H246" s="47" t="str">
        <f t="shared" si="31"/>
        <v>OK&lt;0.1</v>
      </c>
      <c r="I246" s="11"/>
      <c r="J246" s="11"/>
      <c r="K246" s="50"/>
    </row>
    <row r="247" spans="1:11" x14ac:dyDescent="0.5">
      <c r="A247" s="359"/>
      <c r="B247" s="322">
        <f t="shared" si="26"/>
        <v>29</v>
      </c>
      <c r="C247" s="315">
        <f t="shared" si="27"/>
        <v>0</v>
      </c>
      <c r="D247" s="315">
        <f t="shared" si="28"/>
        <v>0</v>
      </c>
      <c r="E247" s="315">
        <f t="shared" si="32"/>
        <v>0</v>
      </c>
      <c r="F247" s="281">
        <f t="shared" si="29"/>
        <v>0</v>
      </c>
      <c r="G247" s="180">
        <f t="shared" si="30"/>
        <v>0</v>
      </c>
      <c r="H247" s="47" t="str">
        <f t="shared" si="31"/>
        <v>OK&lt;0.1</v>
      </c>
      <c r="I247" s="11"/>
      <c r="J247" s="11"/>
      <c r="K247" s="50"/>
    </row>
    <row r="248" spans="1:11" x14ac:dyDescent="0.5">
      <c r="A248" s="359"/>
      <c r="B248" s="322">
        <f t="shared" si="26"/>
        <v>28</v>
      </c>
      <c r="C248" s="315">
        <f t="shared" si="27"/>
        <v>0</v>
      </c>
      <c r="D248" s="315">
        <f t="shared" si="28"/>
        <v>0</v>
      </c>
      <c r="E248" s="315">
        <f t="shared" si="32"/>
        <v>0</v>
      </c>
      <c r="F248" s="281">
        <f t="shared" si="29"/>
        <v>0</v>
      </c>
      <c r="G248" s="180">
        <f t="shared" si="30"/>
        <v>0</v>
      </c>
      <c r="H248" s="47" t="str">
        <f t="shared" si="31"/>
        <v>OK&lt;0.1</v>
      </c>
      <c r="I248" s="11"/>
      <c r="J248" s="11"/>
      <c r="K248" s="50"/>
    </row>
    <row r="249" spans="1:11" x14ac:dyDescent="0.5">
      <c r="A249" s="359"/>
      <c r="B249" s="322">
        <f t="shared" si="26"/>
        <v>27</v>
      </c>
      <c r="C249" s="315">
        <f t="shared" si="27"/>
        <v>0</v>
      </c>
      <c r="D249" s="315">
        <f t="shared" si="28"/>
        <v>0</v>
      </c>
      <c r="E249" s="315">
        <f t="shared" si="32"/>
        <v>0</v>
      </c>
      <c r="F249" s="281">
        <f t="shared" si="29"/>
        <v>0</v>
      </c>
      <c r="G249" s="180">
        <f t="shared" si="30"/>
        <v>0</v>
      </c>
      <c r="H249" s="47" t="str">
        <f t="shared" si="31"/>
        <v>OK&lt;0.1</v>
      </c>
      <c r="I249" s="11"/>
      <c r="J249" s="11"/>
      <c r="K249" s="50"/>
    </row>
    <row r="250" spans="1:11" x14ac:dyDescent="0.5">
      <c r="A250" s="359"/>
      <c r="B250" s="322">
        <f t="shared" si="26"/>
        <v>26</v>
      </c>
      <c r="C250" s="315">
        <f t="shared" si="27"/>
        <v>0</v>
      </c>
      <c r="D250" s="315">
        <f t="shared" si="28"/>
        <v>0</v>
      </c>
      <c r="E250" s="315">
        <f t="shared" si="32"/>
        <v>0</v>
      </c>
      <c r="F250" s="281">
        <f t="shared" si="29"/>
        <v>0</v>
      </c>
      <c r="G250" s="180">
        <f t="shared" si="30"/>
        <v>0</v>
      </c>
      <c r="H250" s="47" t="str">
        <f t="shared" si="31"/>
        <v>OK&lt;0.1</v>
      </c>
      <c r="I250" s="11"/>
      <c r="J250" s="11"/>
      <c r="K250" s="50"/>
    </row>
    <row r="251" spans="1:11" x14ac:dyDescent="0.5">
      <c r="A251" s="359"/>
      <c r="B251" s="322">
        <f t="shared" si="26"/>
        <v>25</v>
      </c>
      <c r="C251" s="315">
        <f t="shared" si="27"/>
        <v>0</v>
      </c>
      <c r="D251" s="315">
        <f t="shared" si="28"/>
        <v>0</v>
      </c>
      <c r="E251" s="315">
        <f t="shared" si="32"/>
        <v>0</v>
      </c>
      <c r="F251" s="281">
        <f t="shared" si="29"/>
        <v>0</v>
      </c>
      <c r="G251" s="180">
        <f t="shared" si="30"/>
        <v>0</v>
      </c>
      <c r="H251" s="47" t="str">
        <f t="shared" si="31"/>
        <v>OK&lt;0.1</v>
      </c>
      <c r="I251" s="11"/>
      <c r="J251" s="11"/>
      <c r="K251" s="50"/>
    </row>
    <row r="252" spans="1:11" x14ac:dyDescent="0.5">
      <c r="A252" s="359"/>
      <c r="B252" s="322">
        <f t="shared" si="26"/>
        <v>24</v>
      </c>
      <c r="C252" s="315">
        <f t="shared" si="27"/>
        <v>0</v>
      </c>
      <c r="D252" s="315">
        <f t="shared" si="28"/>
        <v>0</v>
      </c>
      <c r="E252" s="315">
        <f t="shared" si="32"/>
        <v>0</v>
      </c>
      <c r="F252" s="281">
        <f t="shared" si="29"/>
        <v>0</v>
      </c>
      <c r="G252" s="180">
        <f t="shared" si="30"/>
        <v>0</v>
      </c>
      <c r="H252" s="47" t="str">
        <f t="shared" si="31"/>
        <v>OK&lt;0.1</v>
      </c>
      <c r="I252" s="11"/>
      <c r="J252" s="11"/>
      <c r="K252" s="50"/>
    </row>
    <row r="253" spans="1:11" x14ac:dyDescent="0.5">
      <c r="A253" s="359"/>
      <c r="B253" s="322">
        <f t="shared" si="26"/>
        <v>23</v>
      </c>
      <c r="C253" s="315">
        <f t="shared" si="27"/>
        <v>0</v>
      </c>
      <c r="D253" s="315">
        <f t="shared" si="28"/>
        <v>0</v>
      </c>
      <c r="E253" s="315">
        <f t="shared" si="32"/>
        <v>0</v>
      </c>
      <c r="F253" s="281">
        <f t="shared" si="29"/>
        <v>0</v>
      </c>
      <c r="G253" s="180">
        <f t="shared" si="30"/>
        <v>0</v>
      </c>
      <c r="H253" s="47" t="str">
        <f t="shared" si="31"/>
        <v>OK&lt;0.1</v>
      </c>
      <c r="I253" s="11"/>
      <c r="J253" s="11"/>
      <c r="K253" s="50"/>
    </row>
    <row r="254" spans="1:11" x14ac:dyDescent="0.5">
      <c r="A254" s="359"/>
      <c r="B254" s="322">
        <f t="shared" si="26"/>
        <v>22</v>
      </c>
      <c r="C254" s="315">
        <f t="shared" si="27"/>
        <v>0</v>
      </c>
      <c r="D254" s="315">
        <f t="shared" si="28"/>
        <v>0</v>
      </c>
      <c r="E254" s="315">
        <f t="shared" si="32"/>
        <v>0</v>
      </c>
      <c r="F254" s="281">
        <f t="shared" si="29"/>
        <v>0</v>
      </c>
      <c r="G254" s="180">
        <f t="shared" si="30"/>
        <v>0</v>
      </c>
      <c r="H254" s="47" t="str">
        <f t="shared" si="31"/>
        <v>OK&lt;0.1</v>
      </c>
      <c r="I254" s="11"/>
      <c r="J254" s="11"/>
      <c r="K254" s="50"/>
    </row>
    <row r="255" spans="1:11" x14ac:dyDescent="0.5">
      <c r="A255" s="359"/>
      <c r="B255" s="322">
        <f t="shared" si="26"/>
        <v>21</v>
      </c>
      <c r="C255" s="315">
        <f t="shared" si="27"/>
        <v>0</v>
      </c>
      <c r="D255" s="315">
        <f t="shared" si="28"/>
        <v>0</v>
      </c>
      <c r="E255" s="315">
        <f t="shared" si="32"/>
        <v>0</v>
      </c>
      <c r="F255" s="281">
        <f t="shared" si="29"/>
        <v>0</v>
      </c>
      <c r="G255" s="180">
        <f t="shared" si="30"/>
        <v>0</v>
      </c>
      <c r="H255" s="47" t="str">
        <f t="shared" si="31"/>
        <v>OK&lt;0.1</v>
      </c>
      <c r="I255" s="11"/>
      <c r="J255" s="11"/>
      <c r="K255" s="50"/>
    </row>
    <row r="256" spans="1:11" x14ac:dyDescent="0.5">
      <c r="A256" s="359"/>
      <c r="B256" s="322">
        <f t="shared" si="26"/>
        <v>20</v>
      </c>
      <c r="C256" s="315">
        <f t="shared" si="27"/>
        <v>0</v>
      </c>
      <c r="D256" s="315">
        <f t="shared" si="28"/>
        <v>0</v>
      </c>
      <c r="E256" s="315">
        <f t="shared" si="32"/>
        <v>0</v>
      </c>
      <c r="F256" s="281">
        <f t="shared" si="29"/>
        <v>0</v>
      </c>
      <c r="G256" s="180">
        <f t="shared" si="30"/>
        <v>0</v>
      </c>
      <c r="H256" s="47" t="str">
        <f t="shared" si="31"/>
        <v>OK&lt;0.1</v>
      </c>
      <c r="I256" s="11"/>
      <c r="J256" s="11"/>
      <c r="K256" s="50"/>
    </row>
    <row r="257" spans="1:11" x14ac:dyDescent="0.5">
      <c r="A257" s="359"/>
      <c r="B257" s="322">
        <f t="shared" si="26"/>
        <v>19</v>
      </c>
      <c r="C257" s="315">
        <f t="shared" si="27"/>
        <v>0</v>
      </c>
      <c r="D257" s="315">
        <f t="shared" si="28"/>
        <v>0</v>
      </c>
      <c r="E257" s="315">
        <f t="shared" si="32"/>
        <v>0</v>
      </c>
      <c r="F257" s="281">
        <f t="shared" si="29"/>
        <v>0</v>
      </c>
      <c r="G257" s="180">
        <f t="shared" si="30"/>
        <v>0</v>
      </c>
      <c r="H257" s="47" t="str">
        <f t="shared" si="31"/>
        <v>OK&lt;0.1</v>
      </c>
      <c r="I257" s="11"/>
      <c r="J257" s="11"/>
      <c r="K257" s="50"/>
    </row>
    <row r="258" spans="1:11" x14ac:dyDescent="0.5">
      <c r="A258" s="359"/>
      <c r="B258" s="322">
        <f t="shared" si="26"/>
        <v>18</v>
      </c>
      <c r="C258" s="315">
        <f t="shared" si="27"/>
        <v>315.09557894736838</v>
      </c>
      <c r="D258" s="315">
        <f t="shared" si="28"/>
        <v>2338.6</v>
      </c>
      <c r="E258" s="315">
        <f t="shared" si="32"/>
        <v>2338.6</v>
      </c>
      <c r="F258" s="281">
        <f t="shared" si="29"/>
        <v>5.0000000000000044E-3</v>
      </c>
      <c r="G258" s="180">
        <f t="shared" si="30"/>
        <v>2.3560000000000001E-5</v>
      </c>
      <c r="H258" s="47" t="str">
        <f t="shared" si="31"/>
        <v>OK&lt;0.1</v>
      </c>
      <c r="I258" s="11"/>
      <c r="J258" s="11"/>
      <c r="K258" s="50"/>
    </row>
    <row r="259" spans="1:11" x14ac:dyDescent="0.5">
      <c r="A259" s="359"/>
      <c r="B259" s="322">
        <f t="shared" si="26"/>
        <v>17</v>
      </c>
      <c r="C259" s="315">
        <f t="shared" si="27"/>
        <v>612.68584795321624</v>
      </c>
      <c r="D259" s="315">
        <f t="shared" si="28"/>
        <v>2338.6</v>
      </c>
      <c r="E259" s="315">
        <f t="shared" si="32"/>
        <v>4677.2</v>
      </c>
      <c r="F259" s="281">
        <f t="shared" si="29"/>
        <v>9.000000000000008E-3</v>
      </c>
      <c r="G259" s="180">
        <f t="shared" si="30"/>
        <v>4.3619999999999999E-5</v>
      </c>
      <c r="H259" s="47" t="str">
        <f t="shared" si="31"/>
        <v>OK&lt;0.1</v>
      </c>
      <c r="I259" s="11"/>
      <c r="J259" s="11"/>
      <c r="K259" s="50"/>
    </row>
    <row r="260" spans="1:11" x14ac:dyDescent="0.5">
      <c r="A260" s="359"/>
      <c r="B260" s="322">
        <f t="shared" si="26"/>
        <v>16</v>
      </c>
      <c r="C260" s="315">
        <f t="shared" si="27"/>
        <v>892.77080701754369</v>
      </c>
      <c r="D260" s="315">
        <f t="shared" si="28"/>
        <v>2338.6</v>
      </c>
      <c r="E260" s="315">
        <f t="shared" si="32"/>
        <v>7015.7999999999993</v>
      </c>
      <c r="F260" s="281">
        <f t="shared" si="29"/>
        <v>1.2999999999999901E-2</v>
      </c>
      <c r="G260" s="180">
        <f t="shared" si="30"/>
        <v>6.4859999999999999E-5</v>
      </c>
      <c r="H260" s="47" t="str">
        <f t="shared" si="31"/>
        <v>OK&lt;0.1</v>
      </c>
      <c r="I260" s="11"/>
      <c r="J260" s="11"/>
      <c r="K260" s="50"/>
    </row>
    <row r="261" spans="1:11" x14ac:dyDescent="0.5">
      <c r="A261" s="359"/>
      <c r="B261" s="322">
        <f t="shared" si="26"/>
        <v>15</v>
      </c>
      <c r="C261" s="315">
        <f t="shared" si="27"/>
        <v>1155.3504561403506</v>
      </c>
      <c r="D261" s="315">
        <f t="shared" si="28"/>
        <v>2338.6</v>
      </c>
      <c r="E261" s="315">
        <f t="shared" si="32"/>
        <v>9354.4</v>
      </c>
      <c r="F261" s="281">
        <f t="shared" si="29"/>
        <v>1.8000000000000016E-2</v>
      </c>
      <c r="G261" s="180">
        <f t="shared" si="30"/>
        <v>9.2529999999999997E-5</v>
      </c>
      <c r="H261" s="47" t="str">
        <f t="shared" si="31"/>
        <v>OK&lt;0.1</v>
      </c>
      <c r="I261" s="11"/>
      <c r="J261" s="11"/>
      <c r="K261" s="50"/>
    </row>
    <row r="262" spans="1:11" x14ac:dyDescent="0.5">
      <c r="A262" s="359"/>
      <c r="B262" s="322">
        <f t="shared" si="26"/>
        <v>14</v>
      </c>
      <c r="C262" s="315">
        <f t="shared" si="27"/>
        <v>1400.4247953216372</v>
      </c>
      <c r="D262" s="315">
        <f t="shared" si="28"/>
        <v>2338.6</v>
      </c>
      <c r="E262" s="315">
        <f t="shared" si="32"/>
        <v>11693</v>
      </c>
      <c r="F262" s="281">
        <f t="shared" si="29"/>
        <v>2.300000000000002E-2</v>
      </c>
      <c r="G262" s="180">
        <f t="shared" si="30"/>
        <v>1.2193000000000001E-4</v>
      </c>
      <c r="H262" s="47" t="str">
        <f t="shared" si="31"/>
        <v>OK&lt;0.1</v>
      </c>
      <c r="I262" s="11"/>
      <c r="J262" s="11"/>
      <c r="K262" s="50"/>
    </row>
    <row r="263" spans="1:11" x14ac:dyDescent="0.5">
      <c r="A263" s="359"/>
      <c r="B263" s="322">
        <f t="shared" si="26"/>
        <v>13</v>
      </c>
      <c r="C263" s="315">
        <f t="shared" si="27"/>
        <v>1627.9938245614032</v>
      </c>
      <c r="D263" s="315">
        <f t="shared" si="28"/>
        <v>2338.6</v>
      </c>
      <c r="E263" s="315">
        <f t="shared" si="32"/>
        <v>14031.6</v>
      </c>
      <c r="F263" s="281">
        <f t="shared" si="29"/>
        <v>2.7000000000000024E-2</v>
      </c>
      <c r="G263" s="180">
        <f t="shared" si="30"/>
        <v>1.4775000000000001E-4</v>
      </c>
      <c r="H263" s="47" t="str">
        <f t="shared" si="31"/>
        <v>OK&lt;0.1</v>
      </c>
      <c r="I263" s="11"/>
      <c r="J263" s="11"/>
      <c r="K263" s="50"/>
    </row>
    <row r="264" spans="1:11" x14ac:dyDescent="0.5">
      <c r="A264" s="359"/>
      <c r="B264" s="322">
        <f t="shared" si="26"/>
        <v>12</v>
      </c>
      <c r="C264" s="315">
        <f t="shared" si="27"/>
        <v>1838.0575438596488</v>
      </c>
      <c r="D264" s="315">
        <f t="shared" si="28"/>
        <v>2338.6</v>
      </c>
      <c r="E264" s="315">
        <f t="shared" si="32"/>
        <v>16370.2</v>
      </c>
      <c r="F264" s="281">
        <f t="shared" si="29"/>
        <v>2.6999999999999968E-2</v>
      </c>
      <c r="G264" s="180">
        <f t="shared" si="30"/>
        <v>1.5268000000000001E-4</v>
      </c>
      <c r="H264" s="47" t="str">
        <f t="shared" si="31"/>
        <v>OK&lt;0.1</v>
      </c>
      <c r="I264" s="11"/>
      <c r="J264" s="11"/>
      <c r="K264" s="50"/>
    </row>
    <row r="265" spans="1:11" x14ac:dyDescent="0.5">
      <c r="A265" s="359"/>
      <c r="B265" s="322">
        <f t="shared" si="26"/>
        <v>11</v>
      </c>
      <c r="C265" s="315">
        <f t="shared" si="27"/>
        <v>2030.615953216374</v>
      </c>
      <c r="D265" s="315">
        <f t="shared" si="28"/>
        <v>2338.6</v>
      </c>
      <c r="E265" s="315">
        <f t="shared" si="32"/>
        <v>18708.8</v>
      </c>
      <c r="F265" s="281">
        <f t="shared" si="29"/>
        <v>3.1000000000000028E-2</v>
      </c>
      <c r="G265" s="180">
        <f t="shared" si="30"/>
        <v>1.8134E-4</v>
      </c>
      <c r="H265" s="47" t="str">
        <f t="shared" si="31"/>
        <v>OK&lt;0.1</v>
      </c>
      <c r="I265" s="11"/>
      <c r="J265" s="11"/>
      <c r="K265" s="50"/>
    </row>
    <row r="266" spans="1:11" x14ac:dyDescent="0.5">
      <c r="A266" s="359"/>
      <c r="B266" s="322">
        <f t="shared" si="26"/>
        <v>10</v>
      </c>
      <c r="C266" s="315">
        <f t="shared" si="27"/>
        <v>2205.6690526315788</v>
      </c>
      <c r="D266" s="315">
        <f t="shared" si="28"/>
        <v>2338.6</v>
      </c>
      <c r="E266" s="315">
        <f t="shared" si="32"/>
        <v>21047.399999999998</v>
      </c>
      <c r="F266" s="281">
        <f t="shared" si="29"/>
        <v>3.5999999999999976E-2</v>
      </c>
      <c r="G266" s="180">
        <f t="shared" si="30"/>
        <v>2.1811000000000001E-4</v>
      </c>
      <c r="H266" s="47" t="str">
        <f t="shared" si="31"/>
        <v>OK&lt;0.1</v>
      </c>
      <c r="I266" s="11"/>
      <c r="J266" s="11"/>
      <c r="K266" s="50"/>
    </row>
    <row r="267" spans="1:11" x14ac:dyDescent="0.5">
      <c r="A267" s="359"/>
      <c r="B267" s="322">
        <f t="shared" si="26"/>
        <v>9</v>
      </c>
      <c r="C267" s="315">
        <f t="shared" si="27"/>
        <v>2363.2168421052629</v>
      </c>
      <c r="D267" s="315">
        <f t="shared" si="28"/>
        <v>2338.6</v>
      </c>
      <c r="E267" s="315">
        <f t="shared" si="32"/>
        <v>23385.999999999996</v>
      </c>
      <c r="F267" s="281">
        <f t="shared" si="29"/>
        <v>3.6000000000000032E-2</v>
      </c>
      <c r="G267" s="180">
        <f t="shared" si="30"/>
        <v>2.2619E-4</v>
      </c>
      <c r="H267" s="47" t="str">
        <f t="shared" si="31"/>
        <v>OK&lt;0.1</v>
      </c>
      <c r="I267" s="11"/>
      <c r="J267" s="11"/>
      <c r="K267" s="50"/>
    </row>
    <row r="268" spans="1:11" x14ac:dyDescent="0.5">
      <c r="A268" s="359"/>
      <c r="B268" s="322">
        <f t="shared" si="26"/>
        <v>8</v>
      </c>
      <c r="C268" s="315">
        <f t="shared" si="27"/>
        <v>2503.2593216374266</v>
      </c>
      <c r="D268" s="315">
        <f t="shared" si="28"/>
        <v>2338.6</v>
      </c>
      <c r="E268" s="315">
        <f t="shared" si="32"/>
        <v>25724.599999999995</v>
      </c>
      <c r="F268" s="281">
        <f t="shared" si="29"/>
        <v>4.0999999999999981E-2</v>
      </c>
      <c r="G268" s="180">
        <f t="shared" si="30"/>
        <v>2.6750999999999999E-4</v>
      </c>
      <c r="H268" s="47" t="str">
        <f t="shared" si="31"/>
        <v>OK&lt;0.1</v>
      </c>
      <c r="I268" s="11"/>
      <c r="J268" s="11"/>
      <c r="K268" s="50"/>
    </row>
    <row r="269" spans="1:11" x14ac:dyDescent="0.5">
      <c r="A269" s="359"/>
      <c r="B269" s="322">
        <f t="shared" si="26"/>
        <v>7</v>
      </c>
      <c r="C269" s="315">
        <f t="shared" si="27"/>
        <v>2625.79649122807</v>
      </c>
      <c r="D269" s="315">
        <f t="shared" si="28"/>
        <v>2338.6</v>
      </c>
      <c r="E269" s="315">
        <f t="shared" si="32"/>
        <v>28063.199999999993</v>
      </c>
      <c r="F269" s="281">
        <f t="shared" si="29"/>
        <v>3.999999999999998E-2</v>
      </c>
      <c r="G269" s="180">
        <f t="shared" si="30"/>
        <v>2.7143000000000002E-4</v>
      </c>
      <c r="H269" s="47" t="str">
        <f t="shared" si="31"/>
        <v>OK&lt;0.1</v>
      </c>
      <c r="I269" s="11"/>
      <c r="J269" s="11"/>
      <c r="K269" s="50"/>
    </row>
    <row r="270" spans="1:11" x14ac:dyDescent="0.5">
      <c r="A270" s="359"/>
      <c r="B270" s="322">
        <f t="shared" si="26"/>
        <v>6</v>
      </c>
      <c r="C270" s="315">
        <f t="shared" si="27"/>
        <v>2730.8283508771929</v>
      </c>
      <c r="D270" s="315">
        <f t="shared" si="28"/>
        <v>2338.6</v>
      </c>
      <c r="E270" s="315">
        <f t="shared" si="32"/>
        <v>30401.799999999992</v>
      </c>
      <c r="F270" s="281">
        <f t="shared" si="29"/>
        <v>4.5000000000000012E-2</v>
      </c>
      <c r="G270" s="180">
        <f t="shared" si="30"/>
        <v>3.1807999999999999E-4</v>
      </c>
      <c r="H270" s="47" t="str">
        <f t="shared" si="31"/>
        <v>OK&lt;0.1</v>
      </c>
      <c r="I270" s="11"/>
      <c r="J270" s="11"/>
      <c r="K270" s="50"/>
    </row>
    <row r="271" spans="1:11" x14ac:dyDescent="0.5">
      <c r="A271" s="359"/>
      <c r="B271" s="322">
        <f t="shared" si="26"/>
        <v>5</v>
      </c>
      <c r="C271" s="315">
        <f t="shared" si="27"/>
        <v>2818.3549005847954</v>
      </c>
      <c r="D271" s="315">
        <f t="shared" si="28"/>
        <v>2338.6</v>
      </c>
      <c r="E271" s="315">
        <f t="shared" si="32"/>
        <v>32740.399999999991</v>
      </c>
      <c r="F271" s="281">
        <f t="shared" si="29"/>
        <v>4.5000000000000012E-2</v>
      </c>
      <c r="G271" s="180">
        <f t="shared" si="30"/>
        <v>3.3190999999999998E-4</v>
      </c>
      <c r="H271" s="47" t="str">
        <f t="shared" si="31"/>
        <v>OK&lt;0.1</v>
      </c>
      <c r="I271" s="11"/>
      <c r="J271" s="11"/>
      <c r="K271" s="50"/>
    </row>
    <row r="272" spans="1:11" x14ac:dyDescent="0.5">
      <c r="A272" s="359"/>
      <c r="B272" s="322">
        <f t="shared" si="26"/>
        <v>4</v>
      </c>
      <c r="C272" s="315">
        <f t="shared" si="27"/>
        <v>2888.376140350877</v>
      </c>
      <c r="D272" s="315">
        <f t="shared" si="28"/>
        <v>2338.6</v>
      </c>
      <c r="E272" s="315">
        <f t="shared" si="32"/>
        <v>35078.999999999993</v>
      </c>
      <c r="F272" s="281">
        <f t="shared" si="29"/>
        <v>4.4999999999999984E-2</v>
      </c>
      <c r="G272" s="180">
        <f t="shared" si="30"/>
        <v>3.4699999999999998E-4</v>
      </c>
      <c r="H272" s="47" t="str">
        <f t="shared" si="31"/>
        <v>OK&lt;0.1</v>
      </c>
      <c r="I272" s="11"/>
      <c r="J272" s="11"/>
      <c r="K272" s="50"/>
    </row>
    <row r="273" spans="1:11" x14ac:dyDescent="0.5">
      <c r="A273" s="359"/>
      <c r="B273" s="322">
        <f t="shared" si="26"/>
        <v>3</v>
      </c>
      <c r="C273" s="315">
        <f t="shared" si="27"/>
        <v>2940.8920701754382</v>
      </c>
      <c r="D273" s="315">
        <f t="shared" si="28"/>
        <v>2338.6</v>
      </c>
      <c r="E273" s="315">
        <f t="shared" si="32"/>
        <v>37417.599999999991</v>
      </c>
      <c r="F273" s="281">
        <f t="shared" si="29"/>
        <v>4.5000000000000012E-2</v>
      </c>
      <c r="G273" s="180">
        <f t="shared" si="30"/>
        <v>3.6351999999999999E-4</v>
      </c>
      <c r="H273" s="47" t="str">
        <f t="shared" si="31"/>
        <v>OK&lt;0.1</v>
      </c>
      <c r="I273" s="11"/>
      <c r="J273" s="11"/>
      <c r="K273" s="50"/>
    </row>
    <row r="274" spans="1:11" x14ac:dyDescent="0.5">
      <c r="A274" s="359"/>
      <c r="B274" s="322">
        <f t="shared" si="26"/>
        <v>2</v>
      </c>
      <c r="C274" s="315">
        <f t="shared" si="27"/>
        <v>2975.902690058479</v>
      </c>
      <c r="D274" s="315">
        <f t="shared" si="28"/>
        <v>2338.6</v>
      </c>
      <c r="E274" s="315">
        <f t="shared" si="32"/>
        <v>39756.19999999999</v>
      </c>
      <c r="F274" s="281">
        <f t="shared" si="29"/>
        <v>4.8000000000000001E-2</v>
      </c>
      <c r="G274" s="180">
        <f t="shared" si="30"/>
        <v>4.0714000000000001E-4</v>
      </c>
      <c r="H274" s="47" t="str">
        <f t="shared" si="31"/>
        <v>OK&lt;0.1</v>
      </c>
      <c r="I274" s="11"/>
      <c r="J274" s="11"/>
      <c r="K274" s="50"/>
    </row>
    <row r="275" spans="1:11" x14ac:dyDescent="0.5">
      <c r="A275" s="359"/>
      <c r="B275" s="322">
        <f>+B216</f>
        <v>1</v>
      </c>
      <c r="C275" s="315">
        <f t="shared" si="27"/>
        <v>2993.4079999999994</v>
      </c>
      <c r="D275" s="315">
        <f t="shared" si="28"/>
        <v>2338.6</v>
      </c>
      <c r="E275" s="315">
        <f t="shared" si="32"/>
        <v>42094.799999999988</v>
      </c>
      <c r="F275" s="281">
        <f t="shared" si="29"/>
        <v>4.7E-2</v>
      </c>
      <c r="G275" s="260">
        <f t="shared" si="30"/>
        <v>4.1963999999999999E-4</v>
      </c>
      <c r="H275" s="47" t="str">
        <f>+IF(G275&lt;0.1,"OK","NO")&amp;"&lt;0.1"</f>
        <v>OK&lt;0.1</v>
      </c>
      <c r="I275" s="11"/>
      <c r="J275" s="11"/>
      <c r="K275" s="50"/>
    </row>
    <row r="276" spans="1:11" x14ac:dyDescent="0.5">
      <c r="A276" s="359"/>
      <c r="B276" s="11"/>
      <c r="C276" s="11"/>
      <c r="D276" s="11"/>
      <c r="E276" s="11"/>
      <c r="F276" s="11"/>
      <c r="G276" s="11"/>
      <c r="H276" s="11"/>
      <c r="I276" s="11"/>
      <c r="J276" s="11"/>
      <c r="K276" s="50"/>
    </row>
    <row r="277" spans="1:11" x14ac:dyDescent="0.5">
      <c r="A277" s="359"/>
      <c r="B277" s="11"/>
      <c r="C277" s="11"/>
      <c r="D277" s="11"/>
      <c r="E277" s="11"/>
      <c r="F277" s="11"/>
      <c r="G277" s="11"/>
      <c r="H277" s="11"/>
      <c r="I277" s="11"/>
      <c r="J277" s="11"/>
      <c r="K277" s="50"/>
    </row>
    <row r="278" spans="1:11" x14ac:dyDescent="0.5">
      <c r="A278" s="359"/>
      <c r="B278" s="11"/>
      <c r="C278" s="11"/>
      <c r="D278" s="11"/>
      <c r="E278" s="11"/>
      <c r="F278" s="11"/>
      <c r="G278" s="11"/>
      <c r="H278" s="11"/>
      <c r="I278" s="11"/>
      <c r="J278" s="11"/>
      <c r="K278" s="50"/>
    </row>
    <row r="279" spans="1:11" x14ac:dyDescent="0.5">
      <c r="A279" s="359"/>
      <c r="B279" s="11"/>
      <c r="C279" s="11"/>
      <c r="D279" s="11"/>
      <c r="E279" s="11"/>
      <c r="F279" s="11"/>
      <c r="G279" s="11"/>
      <c r="H279" s="11"/>
      <c r="I279" s="11"/>
      <c r="J279" s="11"/>
      <c r="K279" s="50"/>
    </row>
    <row r="280" spans="1:11" x14ac:dyDescent="0.5">
      <c r="A280" s="359"/>
      <c r="B280" s="11"/>
      <c r="C280" s="11"/>
      <c r="D280" s="11"/>
      <c r="E280" s="11"/>
      <c r="F280" s="11"/>
      <c r="G280" s="11"/>
      <c r="H280" s="11"/>
      <c r="I280" s="11"/>
      <c r="J280" s="11"/>
      <c r="K280" s="50"/>
    </row>
    <row r="281" spans="1:11" s="2" customFormat="1" x14ac:dyDescent="0.5">
      <c r="A281" s="359"/>
      <c r="B281" s="11"/>
      <c r="C281" s="11"/>
      <c r="D281" s="11"/>
      <c r="E281" s="11"/>
      <c r="F281" s="11"/>
      <c r="G281" s="11"/>
      <c r="H281" s="11"/>
      <c r="I281" s="11"/>
      <c r="J281" s="11"/>
      <c r="K281" s="50"/>
    </row>
    <row r="282" spans="1:11" s="2" customFormat="1" x14ac:dyDescent="0.5">
      <c r="A282" s="359"/>
      <c r="B282" s="11"/>
      <c r="C282" s="11"/>
      <c r="D282" s="11"/>
      <c r="E282" s="11"/>
      <c r="F282" s="11"/>
      <c r="G282" s="11"/>
      <c r="H282" s="11"/>
      <c r="I282" s="11"/>
      <c r="J282" s="11"/>
      <c r="K282" s="50"/>
    </row>
    <row r="283" spans="1:11" x14ac:dyDescent="0.5">
      <c r="A283" s="360"/>
      <c r="B283" s="11"/>
      <c r="C283" s="11"/>
      <c r="D283" s="11"/>
      <c r="E283" s="11"/>
      <c r="F283" s="11"/>
      <c r="G283" s="11"/>
      <c r="H283" s="11"/>
      <c r="I283" s="11"/>
      <c r="J283" s="11"/>
      <c r="K283" s="50"/>
    </row>
    <row r="284" spans="1:11" x14ac:dyDescent="0.5">
      <c r="A284" s="374" t="s">
        <v>345</v>
      </c>
      <c r="B284" s="375"/>
      <c r="C284" s="375"/>
      <c r="D284" s="375"/>
      <c r="E284" s="375"/>
      <c r="F284" s="375"/>
      <c r="G284" s="375"/>
      <c r="H284" s="375"/>
      <c r="I284" s="375"/>
      <c r="J284" s="375"/>
      <c r="K284" s="376"/>
    </row>
    <row r="285" spans="1:11" x14ac:dyDescent="0.5">
      <c r="A285" s="377"/>
      <c r="B285" s="378"/>
      <c r="C285" s="378"/>
      <c r="D285" s="378"/>
      <c r="E285" s="378"/>
      <c r="F285" s="378"/>
      <c r="G285" s="378"/>
      <c r="H285" s="378"/>
      <c r="I285" s="378"/>
      <c r="J285" s="378"/>
      <c r="K285" s="379"/>
    </row>
    <row r="286" spans="1:11" x14ac:dyDescent="0.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</row>
    <row r="287" spans="1:11" ht="23.25" customHeight="1" x14ac:dyDescent="0.5">
      <c r="A287" s="114"/>
      <c r="B287" s="124"/>
      <c r="C287" s="125"/>
      <c r="D287" s="126"/>
      <c r="E287" s="79"/>
      <c r="F287" s="127"/>
      <c r="G287" s="9"/>
      <c r="H287" s="128"/>
      <c r="I287" s="247"/>
      <c r="J287" s="47"/>
      <c r="K287" s="115"/>
    </row>
    <row r="288" spans="1:11" ht="23.25" customHeight="1" x14ac:dyDescent="0.5">
      <c r="A288" s="114"/>
      <c r="B288" s="124"/>
      <c r="C288" s="125"/>
      <c r="D288" s="126"/>
      <c r="E288" s="79"/>
      <c r="F288" s="9"/>
      <c r="G288" s="264"/>
      <c r="H288" s="128"/>
      <c r="I288" s="247"/>
      <c r="J288" s="47"/>
      <c r="K288" s="115"/>
    </row>
    <row r="289" spans="1:11" ht="31.5" customHeight="1" x14ac:dyDescent="0.5">
      <c r="A289" s="114"/>
      <c r="B289" s="124"/>
      <c r="C289" s="125"/>
      <c r="D289" s="388"/>
      <c r="E289" s="387" t="str">
        <f>"การเคลื่อนตัวจากฐานมากที่สุดจากแกนXและY "&amp;MAX($E$121:$E$160,$E$177:$E$216)&amp;"Cm."</f>
        <v>การเคลื่อนตัวจากฐานมากที่สุดจากแกนXและY 0.581Cm.</v>
      </c>
      <c r="F289" s="387"/>
      <c r="G289" s="387"/>
      <c r="H289" s="387"/>
      <c r="I289" s="9"/>
      <c r="J289" s="47"/>
      <c r="K289" s="115"/>
    </row>
    <row r="290" spans="1:11" x14ac:dyDescent="0.5">
      <c r="A290" s="114"/>
      <c r="B290" s="124"/>
      <c r="C290" s="125"/>
      <c r="D290" s="388"/>
      <c r="E290" s="387"/>
      <c r="F290" s="387"/>
      <c r="G290" s="387"/>
      <c r="H290" s="387"/>
      <c r="I290" s="9"/>
      <c r="J290" s="47"/>
      <c r="K290" s="115"/>
    </row>
    <row r="291" spans="1:11" ht="24" thickBot="1" x14ac:dyDescent="0.55000000000000004">
      <c r="A291" s="114"/>
      <c r="B291" s="124"/>
      <c r="C291" s="125"/>
      <c r="D291" s="144"/>
      <c r="E291" s="11"/>
      <c r="F291" s="11"/>
      <c r="G291" s="128"/>
      <c r="H291" s="128"/>
      <c r="I291" s="247"/>
      <c r="J291" s="47"/>
      <c r="K291" s="115"/>
    </row>
    <row r="292" spans="1:11" x14ac:dyDescent="0.5">
      <c r="A292" s="209">
        <f t="shared" ref="A292:A330" si="33">+D292</f>
        <v>40</v>
      </c>
      <c r="B292" s="173">
        <f t="shared" ref="B292:B330" si="34">+F61</f>
        <v>0</v>
      </c>
      <c r="C292" s="389" t="s">
        <v>198</v>
      </c>
      <c r="D292" s="305">
        <f t="shared" ref="D292:D330" si="35">+B61</f>
        <v>40</v>
      </c>
      <c r="E292" s="306"/>
      <c r="F292" s="307">
        <f t="shared" ref="F292:F330" si="36">+D61</f>
        <v>140</v>
      </c>
      <c r="G292" s="390" t="s">
        <v>309</v>
      </c>
      <c r="H292" s="390"/>
      <c r="I292" s="390"/>
      <c r="J292" s="390"/>
      <c r="K292" s="391"/>
    </row>
    <row r="293" spans="1:11" x14ac:dyDescent="0.5">
      <c r="A293" s="209">
        <f t="shared" si="33"/>
        <v>39</v>
      </c>
      <c r="B293" s="173">
        <f t="shared" si="34"/>
        <v>0</v>
      </c>
      <c r="C293" s="389"/>
      <c r="D293" s="308">
        <f t="shared" si="35"/>
        <v>39</v>
      </c>
      <c r="E293" s="303"/>
      <c r="F293" s="309">
        <f t="shared" si="36"/>
        <v>136.5</v>
      </c>
      <c r="G293" s="153">
        <v>1</v>
      </c>
      <c r="H293" s="151" t="s">
        <v>137</v>
      </c>
      <c r="I293" s="152"/>
      <c r="J293" s="189" t="s">
        <v>141</v>
      </c>
      <c r="K293" s="190"/>
    </row>
    <row r="294" spans="1:11" x14ac:dyDescent="0.5">
      <c r="A294" s="209">
        <f t="shared" si="33"/>
        <v>38</v>
      </c>
      <c r="B294" s="173">
        <f t="shared" si="34"/>
        <v>0</v>
      </c>
      <c r="C294" s="389"/>
      <c r="D294" s="308">
        <f t="shared" si="35"/>
        <v>38</v>
      </c>
      <c r="E294" s="303"/>
      <c r="F294" s="309">
        <f t="shared" si="36"/>
        <v>133</v>
      </c>
      <c r="G294" s="153">
        <v>2</v>
      </c>
      <c r="H294" s="147" t="s">
        <v>138</v>
      </c>
      <c r="I294" s="148"/>
      <c r="J294" s="191" t="s">
        <v>175</v>
      </c>
      <c r="K294" s="192"/>
    </row>
    <row r="295" spans="1:11" x14ac:dyDescent="0.5">
      <c r="A295" s="209">
        <f t="shared" si="33"/>
        <v>37</v>
      </c>
      <c r="B295" s="173">
        <f t="shared" si="34"/>
        <v>0</v>
      </c>
      <c r="C295" s="389"/>
      <c r="D295" s="308">
        <f t="shared" si="35"/>
        <v>37</v>
      </c>
      <c r="E295" s="303"/>
      <c r="F295" s="309">
        <f t="shared" si="36"/>
        <v>129.5</v>
      </c>
      <c r="G295" s="142">
        <v>3</v>
      </c>
      <c r="H295" s="151" t="s">
        <v>139</v>
      </c>
      <c r="I295" s="152"/>
      <c r="J295" s="193"/>
      <c r="K295" s="194"/>
    </row>
    <row r="296" spans="1:11" x14ac:dyDescent="0.5">
      <c r="A296" s="209">
        <f t="shared" si="33"/>
        <v>36</v>
      </c>
      <c r="B296" s="173">
        <f t="shared" si="34"/>
        <v>0</v>
      </c>
      <c r="C296" s="389"/>
      <c r="D296" s="308">
        <f t="shared" si="35"/>
        <v>36</v>
      </c>
      <c r="E296" s="303"/>
      <c r="F296" s="309">
        <f t="shared" si="36"/>
        <v>126</v>
      </c>
      <c r="G296" s="153">
        <v>4</v>
      </c>
      <c r="H296" s="145" t="s">
        <v>140</v>
      </c>
      <c r="I296" s="146"/>
      <c r="J296" s="195" t="s">
        <v>144</v>
      </c>
      <c r="K296" s="196"/>
    </row>
    <row r="297" spans="1:11" x14ac:dyDescent="0.5">
      <c r="A297" s="209">
        <f t="shared" si="33"/>
        <v>35</v>
      </c>
      <c r="B297" s="173">
        <f t="shared" si="34"/>
        <v>0</v>
      </c>
      <c r="C297" s="389"/>
      <c r="D297" s="308">
        <f t="shared" si="35"/>
        <v>35</v>
      </c>
      <c r="E297" s="303"/>
      <c r="F297" s="309">
        <f t="shared" si="36"/>
        <v>122.5</v>
      </c>
      <c r="G297" s="142">
        <v>5</v>
      </c>
      <c r="H297" s="151" t="s">
        <v>142</v>
      </c>
      <c r="I297" s="152"/>
      <c r="J297" s="197" t="s">
        <v>189</v>
      </c>
      <c r="K297" s="198"/>
    </row>
    <row r="298" spans="1:11" x14ac:dyDescent="0.5">
      <c r="A298" s="209">
        <f t="shared" si="33"/>
        <v>34</v>
      </c>
      <c r="B298" s="173">
        <f t="shared" si="34"/>
        <v>0</v>
      </c>
      <c r="C298" s="389"/>
      <c r="D298" s="308">
        <f t="shared" si="35"/>
        <v>34</v>
      </c>
      <c r="E298" s="303"/>
      <c r="F298" s="309">
        <f t="shared" si="36"/>
        <v>119</v>
      </c>
      <c r="G298" s="153">
        <v>6</v>
      </c>
      <c r="H298" s="149" t="s">
        <v>143</v>
      </c>
      <c r="I298" s="150"/>
      <c r="J298" s="199" t="s">
        <v>3</v>
      </c>
      <c r="K298" s="200"/>
    </row>
    <row r="299" spans="1:11" x14ac:dyDescent="0.5">
      <c r="A299" s="209">
        <f t="shared" si="33"/>
        <v>33</v>
      </c>
      <c r="B299" s="173">
        <f t="shared" si="34"/>
        <v>0</v>
      </c>
      <c r="C299" s="389"/>
      <c r="D299" s="157">
        <f t="shared" si="35"/>
        <v>33</v>
      </c>
      <c r="E299" s="158"/>
      <c r="F299" s="304">
        <f t="shared" si="36"/>
        <v>115.5</v>
      </c>
      <c r="G299" s="142">
        <v>7</v>
      </c>
      <c r="H299" s="147" t="s">
        <v>145</v>
      </c>
      <c r="I299" s="148"/>
      <c r="J299" s="201" t="s">
        <v>191</v>
      </c>
      <c r="K299" s="202"/>
    </row>
    <row r="300" spans="1:11" x14ac:dyDescent="0.5">
      <c r="A300" s="209">
        <f t="shared" si="33"/>
        <v>32</v>
      </c>
      <c r="B300" s="173">
        <f t="shared" si="34"/>
        <v>0</v>
      </c>
      <c r="C300" s="389"/>
      <c r="D300" s="308">
        <f t="shared" si="35"/>
        <v>32</v>
      </c>
      <c r="E300" s="303"/>
      <c r="F300" s="309">
        <f t="shared" si="36"/>
        <v>112</v>
      </c>
      <c r="G300" s="154">
        <v>8</v>
      </c>
      <c r="H300" s="145" t="s">
        <v>146</v>
      </c>
      <c r="I300" s="146"/>
      <c r="J300" s="203" t="s">
        <v>151</v>
      </c>
      <c r="K300" s="204"/>
    </row>
    <row r="301" spans="1:11" x14ac:dyDescent="0.5">
      <c r="A301" s="209">
        <f t="shared" si="33"/>
        <v>31</v>
      </c>
      <c r="B301" s="173">
        <f t="shared" si="34"/>
        <v>0</v>
      </c>
      <c r="C301" s="389"/>
      <c r="D301" s="157">
        <f t="shared" si="35"/>
        <v>31</v>
      </c>
      <c r="E301" s="158"/>
      <c r="F301" s="304">
        <f t="shared" si="36"/>
        <v>108.5</v>
      </c>
      <c r="G301" s="153">
        <v>9</v>
      </c>
      <c r="H301" s="151" t="s">
        <v>147</v>
      </c>
      <c r="I301" s="152"/>
      <c r="J301" s="205" t="s">
        <v>190</v>
      </c>
      <c r="K301" s="206"/>
    </row>
    <row r="302" spans="1:11" x14ac:dyDescent="0.5">
      <c r="A302" s="209">
        <f t="shared" si="33"/>
        <v>30</v>
      </c>
      <c r="B302" s="173">
        <f t="shared" si="34"/>
        <v>0</v>
      </c>
      <c r="C302" s="389"/>
      <c r="D302" s="308">
        <f t="shared" si="35"/>
        <v>30</v>
      </c>
      <c r="E302" s="303"/>
      <c r="F302" s="309">
        <f t="shared" si="36"/>
        <v>105</v>
      </c>
      <c r="G302" s="155">
        <v>10</v>
      </c>
      <c r="H302" s="145" t="s">
        <v>148</v>
      </c>
      <c r="I302" s="146"/>
      <c r="J302" s="205"/>
      <c r="K302" s="206"/>
    </row>
    <row r="303" spans="1:11" x14ac:dyDescent="0.5">
      <c r="A303" s="209">
        <f t="shared" si="33"/>
        <v>29</v>
      </c>
      <c r="B303" s="173">
        <f t="shared" si="34"/>
        <v>0</v>
      </c>
      <c r="C303" s="389"/>
      <c r="D303" s="157">
        <f t="shared" si="35"/>
        <v>29</v>
      </c>
      <c r="E303" s="158"/>
      <c r="F303" s="304">
        <f t="shared" si="36"/>
        <v>101.5</v>
      </c>
      <c r="G303" s="156">
        <v>11</v>
      </c>
      <c r="H303" s="149" t="s">
        <v>149</v>
      </c>
      <c r="I303" s="150"/>
      <c r="J303" s="205"/>
      <c r="K303" s="206"/>
    </row>
    <row r="304" spans="1:11" x14ac:dyDescent="0.5">
      <c r="A304" s="209">
        <f t="shared" si="33"/>
        <v>28</v>
      </c>
      <c r="B304" s="173">
        <f t="shared" si="34"/>
        <v>0</v>
      </c>
      <c r="C304" s="389"/>
      <c r="D304" s="308">
        <f t="shared" si="35"/>
        <v>28</v>
      </c>
      <c r="E304" s="303"/>
      <c r="F304" s="309">
        <f t="shared" si="36"/>
        <v>98</v>
      </c>
      <c r="G304" s="156">
        <v>12</v>
      </c>
      <c r="H304" s="149" t="s">
        <v>150</v>
      </c>
      <c r="I304" s="150"/>
      <c r="J304" s="207"/>
      <c r="K304" s="208"/>
    </row>
    <row r="305" spans="1:15" x14ac:dyDescent="0.5">
      <c r="A305" s="209">
        <f t="shared" si="33"/>
        <v>27</v>
      </c>
      <c r="B305" s="173">
        <f t="shared" si="34"/>
        <v>0</v>
      </c>
      <c r="C305" s="389"/>
      <c r="D305" s="157">
        <f t="shared" si="35"/>
        <v>27</v>
      </c>
      <c r="E305" s="158"/>
      <c r="F305" s="304">
        <f t="shared" si="36"/>
        <v>94.5</v>
      </c>
      <c r="G305" s="128"/>
      <c r="H305" s="128"/>
      <c r="I305" s="247"/>
      <c r="J305" s="47"/>
      <c r="K305" s="115"/>
    </row>
    <row r="306" spans="1:15" x14ac:dyDescent="0.5">
      <c r="A306" s="209">
        <f t="shared" si="33"/>
        <v>26</v>
      </c>
      <c r="B306" s="173">
        <f t="shared" si="34"/>
        <v>0</v>
      </c>
      <c r="C306" s="389"/>
      <c r="D306" s="308">
        <f t="shared" si="35"/>
        <v>26</v>
      </c>
      <c r="E306" s="303"/>
      <c r="F306" s="309">
        <f t="shared" si="36"/>
        <v>91</v>
      </c>
      <c r="G306" s="128"/>
      <c r="H306" s="128"/>
      <c r="I306" s="247"/>
      <c r="J306" s="47"/>
      <c r="K306" s="115"/>
    </row>
    <row r="307" spans="1:15" x14ac:dyDescent="0.5">
      <c r="A307" s="209">
        <f t="shared" si="33"/>
        <v>25</v>
      </c>
      <c r="B307" s="173">
        <f t="shared" si="34"/>
        <v>0</v>
      </c>
      <c r="C307" s="389"/>
      <c r="D307" s="157">
        <f t="shared" si="35"/>
        <v>25</v>
      </c>
      <c r="E307" s="392" t="str">
        <f>"จำนวนอาคาร"&amp;D5&amp;"ชั้น"</f>
        <v>จำนวนอาคาร40ชั้น</v>
      </c>
      <c r="F307" s="304">
        <f t="shared" si="36"/>
        <v>87.5</v>
      </c>
      <c r="G307" s="128"/>
      <c r="H307" s="128"/>
      <c r="I307" s="247"/>
      <c r="J307" s="47"/>
      <c r="K307" s="115"/>
      <c r="O307" s="2"/>
    </row>
    <row r="308" spans="1:15" x14ac:dyDescent="0.5">
      <c r="A308" s="209">
        <f t="shared" si="33"/>
        <v>24</v>
      </c>
      <c r="B308" s="173">
        <f t="shared" si="34"/>
        <v>0</v>
      </c>
      <c r="C308" s="389"/>
      <c r="D308" s="308">
        <f t="shared" si="35"/>
        <v>24</v>
      </c>
      <c r="E308" s="393"/>
      <c r="F308" s="309">
        <f t="shared" si="36"/>
        <v>84</v>
      </c>
      <c r="G308" s="128"/>
      <c r="H308" s="128"/>
      <c r="I308" s="247"/>
      <c r="J308" s="47"/>
      <c r="K308" s="115"/>
      <c r="O308" s="2"/>
    </row>
    <row r="309" spans="1:15" x14ac:dyDescent="0.5">
      <c r="A309" s="209">
        <f t="shared" si="33"/>
        <v>23</v>
      </c>
      <c r="B309" s="173">
        <f t="shared" si="34"/>
        <v>0</v>
      </c>
      <c r="C309" s="389"/>
      <c r="D309" s="157">
        <f t="shared" si="35"/>
        <v>23</v>
      </c>
      <c r="E309" s="393"/>
      <c r="F309" s="304">
        <f t="shared" si="36"/>
        <v>80.5</v>
      </c>
      <c r="G309" s="128"/>
      <c r="H309" s="128"/>
      <c r="I309" s="247"/>
      <c r="J309" s="47"/>
      <c r="K309" s="115"/>
      <c r="O309" s="2"/>
    </row>
    <row r="310" spans="1:15" x14ac:dyDescent="0.5">
      <c r="A310" s="209">
        <f t="shared" si="33"/>
        <v>22</v>
      </c>
      <c r="B310" s="173">
        <f t="shared" si="34"/>
        <v>0</v>
      </c>
      <c r="C310" s="389"/>
      <c r="D310" s="308">
        <f t="shared" si="35"/>
        <v>22</v>
      </c>
      <c r="E310" s="393"/>
      <c r="F310" s="309">
        <f t="shared" si="36"/>
        <v>77</v>
      </c>
      <c r="G310" s="11"/>
      <c r="H310" s="11"/>
      <c r="I310" s="11"/>
      <c r="J310" s="11"/>
      <c r="K310" s="10"/>
      <c r="O310" s="2"/>
    </row>
    <row r="311" spans="1:15" x14ac:dyDescent="0.5">
      <c r="A311" s="209">
        <f t="shared" si="33"/>
        <v>21</v>
      </c>
      <c r="B311" s="173">
        <f t="shared" si="34"/>
        <v>0</v>
      </c>
      <c r="C311" s="389"/>
      <c r="D311" s="157">
        <f t="shared" si="35"/>
        <v>21</v>
      </c>
      <c r="E311" s="393"/>
      <c r="F311" s="304">
        <f t="shared" si="36"/>
        <v>73.5</v>
      </c>
      <c r="G311" s="143"/>
      <c r="H311" s="11"/>
      <c r="I311" s="11"/>
      <c r="J311" s="11"/>
      <c r="K311" s="10"/>
      <c r="O311" s="2"/>
    </row>
    <row r="312" spans="1:15" x14ac:dyDescent="0.5">
      <c r="A312" s="209">
        <f t="shared" si="33"/>
        <v>20</v>
      </c>
      <c r="B312" s="173">
        <f t="shared" si="34"/>
        <v>0</v>
      </c>
      <c r="C312" s="389"/>
      <c r="D312" s="308">
        <f t="shared" si="35"/>
        <v>20</v>
      </c>
      <c r="E312" s="393"/>
      <c r="F312" s="309">
        <f t="shared" si="36"/>
        <v>70</v>
      </c>
      <c r="G312" s="11"/>
      <c r="H312" s="11"/>
      <c r="I312" s="11"/>
      <c r="J312" s="11"/>
      <c r="K312" s="10"/>
      <c r="O312" s="2"/>
    </row>
    <row r="313" spans="1:15" x14ac:dyDescent="0.5">
      <c r="A313" s="209">
        <f t="shared" si="33"/>
        <v>19</v>
      </c>
      <c r="B313" s="173">
        <f t="shared" si="34"/>
        <v>0</v>
      </c>
      <c r="C313" s="389"/>
      <c r="D313" s="157">
        <f t="shared" si="35"/>
        <v>19</v>
      </c>
      <c r="E313" s="393"/>
      <c r="F313" s="304">
        <f t="shared" si="36"/>
        <v>66.5</v>
      </c>
      <c r="G313" s="11"/>
      <c r="H313" s="11"/>
      <c r="I313" s="11"/>
      <c r="J313" s="11"/>
      <c r="K313" s="10"/>
      <c r="O313" s="2"/>
    </row>
    <row r="314" spans="1:15" x14ac:dyDescent="0.5">
      <c r="A314" s="209">
        <f t="shared" si="33"/>
        <v>18</v>
      </c>
      <c r="B314" s="173">
        <f t="shared" si="34"/>
        <v>315.09557894736838</v>
      </c>
      <c r="C314" s="389"/>
      <c r="D314" s="310">
        <f t="shared" si="35"/>
        <v>18</v>
      </c>
      <c r="E314" s="393"/>
      <c r="F314" s="309">
        <f t="shared" si="36"/>
        <v>63</v>
      </c>
      <c r="G314" s="11"/>
      <c r="H314" s="11"/>
      <c r="I314" s="11"/>
      <c r="J314" s="11"/>
      <c r="K314" s="10"/>
      <c r="O314" s="2"/>
    </row>
    <row r="315" spans="1:15" x14ac:dyDescent="0.5">
      <c r="A315" s="209">
        <f t="shared" si="33"/>
        <v>17</v>
      </c>
      <c r="B315" s="173">
        <f t="shared" si="34"/>
        <v>297.59026900584786</v>
      </c>
      <c r="C315" s="389"/>
      <c r="D315" s="310">
        <f t="shared" si="35"/>
        <v>17</v>
      </c>
      <c r="E315" s="393"/>
      <c r="F315" s="304">
        <f t="shared" si="36"/>
        <v>59.5</v>
      </c>
      <c r="G315" s="267">
        <v>1</v>
      </c>
      <c r="H315" s="9" t="s">
        <v>194</v>
      </c>
      <c r="I315" s="9"/>
      <c r="J315" s="11"/>
      <c r="K315" s="10"/>
    </row>
    <row r="316" spans="1:15" x14ac:dyDescent="0.5">
      <c r="A316" s="209">
        <f t="shared" si="33"/>
        <v>16</v>
      </c>
      <c r="B316" s="173">
        <f t="shared" si="34"/>
        <v>280.08495906432745</v>
      </c>
      <c r="C316" s="389"/>
      <c r="D316" s="310">
        <f t="shared" si="35"/>
        <v>16</v>
      </c>
      <c r="E316" s="393"/>
      <c r="F316" s="311">
        <f t="shared" si="36"/>
        <v>56</v>
      </c>
      <c r="G316" s="267">
        <v>2</v>
      </c>
      <c r="H316" s="9" t="s">
        <v>195</v>
      </c>
      <c r="I316" s="9"/>
      <c r="J316" s="11"/>
      <c r="K316" s="10"/>
    </row>
    <row r="317" spans="1:15" x14ac:dyDescent="0.5">
      <c r="A317" s="209">
        <f t="shared" si="33"/>
        <v>15</v>
      </c>
      <c r="B317" s="173">
        <f t="shared" si="34"/>
        <v>262.57964912280698</v>
      </c>
      <c r="C317" s="389"/>
      <c r="D317" s="310">
        <f t="shared" si="35"/>
        <v>15</v>
      </c>
      <c r="E317" s="393"/>
      <c r="F317" s="311">
        <f t="shared" si="36"/>
        <v>52.5</v>
      </c>
      <c r="G317" s="267">
        <v>3</v>
      </c>
      <c r="H317" s="9" t="s">
        <v>196</v>
      </c>
      <c r="I317" s="9"/>
      <c r="J317" s="11"/>
      <c r="K317" s="10"/>
    </row>
    <row r="318" spans="1:15" x14ac:dyDescent="0.5">
      <c r="A318" s="209">
        <f t="shared" si="33"/>
        <v>14</v>
      </c>
      <c r="B318" s="173">
        <f t="shared" si="34"/>
        <v>245.07433918128652</v>
      </c>
      <c r="C318" s="389"/>
      <c r="D318" s="310">
        <f t="shared" si="35"/>
        <v>14</v>
      </c>
      <c r="E318" s="394"/>
      <c r="F318" s="311">
        <f t="shared" si="36"/>
        <v>49</v>
      </c>
      <c r="G318" s="267">
        <v>4</v>
      </c>
      <c r="H318" s="9" t="s">
        <v>199</v>
      </c>
      <c r="I318" s="9"/>
      <c r="J318" s="11"/>
      <c r="K318" s="10"/>
    </row>
    <row r="319" spans="1:15" x14ac:dyDescent="0.5">
      <c r="A319" s="209">
        <f t="shared" si="33"/>
        <v>13</v>
      </c>
      <c r="B319" s="173">
        <f t="shared" si="34"/>
        <v>227.56902923976608</v>
      </c>
      <c r="C319" s="389"/>
      <c r="D319" s="308">
        <f t="shared" si="35"/>
        <v>13</v>
      </c>
      <c r="E319" s="303"/>
      <c r="F319" s="309">
        <f t="shared" si="36"/>
        <v>45.5</v>
      </c>
      <c r="G319" s="267">
        <v>5</v>
      </c>
      <c r="H319" s="9" t="s">
        <v>197</v>
      </c>
      <c r="I319" s="9"/>
      <c r="J319" s="11"/>
      <c r="K319" s="10"/>
    </row>
    <row r="320" spans="1:15" x14ac:dyDescent="0.5">
      <c r="A320" s="209">
        <f t="shared" si="33"/>
        <v>12</v>
      </c>
      <c r="B320" s="173">
        <f t="shared" si="34"/>
        <v>210.06371929824556</v>
      </c>
      <c r="C320" s="389"/>
      <c r="D320" s="308">
        <f t="shared" si="35"/>
        <v>12</v>
      </c>
      <c r="E320" s="303"/>
      <c r="F320" s="309">
        <f t="shared" si="36"/>
        <v>42</v>
      </c>
      <c r="G320" s="267">
        <v>6</v>
      </c>
      <c r="H320" s="9" t="s">
        <v>200</v>
      </c>
      <c r="I320" s="9"/>
      <c r="J320" s="11"/>
      <c r="K320" s="10"/>
    </row>
    <row r="321" spans="1:11" x14ac:dyDescent="0.5">
      <c r="A321" s="209">
        <f t="shared" si="33"/>
        <v>11</v>
      </c>
      <c r="B321" s="173">
        <f t="shared" si="34"/>
        <v>192.55840935672509</v>
      </c>
      <c r="C321" s="389"/>
      <c r="D321" s="308">
        <f t="shared" si="35"/>
        <v>11</v>
      </c>
      <c r="E321" s="303"/>
      <c r="F321" s="309">
        <f t="shared" si="36"/>
        <v>38.5</v>
      </c>
      <c r="G321" s="267">
        <v>7</v>
      </c>
      <c r="H321" s="9" t="s">
        <v>201</v>
      </c>
      <c r="I321" s="9"/>
      <c r="J321" s="11"/>
      <c r="K321" s="10"/>
    </row>
    <row r="322" spans="1:11" x14ac:dyDescent="0.5">
      <c r="A322" s="209">
        <f t="shared" si="33"/>
        <v>10</v>
      </c>
      <c r="B322" s="173">
        <f t="shared" si="34"/>
        <v>175.05309941520466</v>
      </c>
      <c r="C322" s="389"/>
      <c r="D322" s="308">
        <f t="shared" si="35"/>
        <v>10</v>
      </c>
      <c r="E322" s="303"/>
      <c r="F322" s="309">
        <f t="shared" si="36"/>
        <v>35</v>
      </c>
      <c r="G322" s="267"/>
      <c r="H322" s="9"/>
      <c r="I322" s="9"/>
      <c r="J322" s="11"/>
      <c r="K322" s="10"/>
    </row>
    <row r="323" spans="1:11" x14ac:dyDescent="0.5">
      <c r="A323" s="209">
        <f t="shared" si="33"/>
        <v>9</v>
      </c>
      <c r="B323" s="173">
        <f t="shared" si="34"/>
        <v>157.54778947368419</v>
      </c>
      <c r="C323" s="389"/>
      <c r="D323" s="308">
        <f t="shared" si="35"/>
        <v>9</v>
      </c>
      <c r="E323" s="303"/>
      <c r="F323" s="309">
        <f t="shared" si="36"/>
        <v>31.5</v>
      </c>
      <c r="G323" s="11"/>
      <c r="H323" s="11"/>
      <c r="I323" s="11"/>
      <c r="J323" s="11"/>
      <c r="K323" s="10"/>
    </row>
    <row r="324" spans="1:11" x14ac:dyDescent="0.5">
      <c r="A324" s="209">
        <f t="shared" si="33"/>
        <v>8</v>
      </c>
      <c r="B324" s="173">
        <f t="shared" si="34"/>
        <v>140.04247953216372</v>
      </c>
      <c r="C324" s="389"/>
      <c r="D324" s="157">
        <f t="shared" si="35"/>
        <v>8</v>
      </c>
      <c r="E324" s="158"/>
      <c r="F324" s="304">
        <f t="shared" si="36"/>
        <v>28</v>
      </c>
      <c r="G324" s="11"/>
      <c r="H324" s="11"/>
      <c r="I324" s="11"/>
      <c r="J324" s="11"/>
      <c r="K324" s="10"/>
    </row>
    <row r="325" spans="1:11" x14ac:dyDescent="0.5">
      <c r="A325" s="209">
        <f t="shared" si="33"/>
        <v>7</v>
      </c>
      <c r="B325" s="173">
        <f t="shared" si="34"/>
        <v>122.53716959064326</v>
      </c>
      <c r="C325" s="389"/>
      <c r="D325" s="308">
        <f t="shared" si="35"/>
        <v>7</v>
      </c>
      <c r="E325" s="303"/>
      <c r="F325" s="309">
        <f t="shared" si="36"/>
        <v>24.5</v>
      </c>
      <c r="G325" s="11"/>
      <c r="H325" s="11"/>
      <c r="I325" s="11"/>
      <c r="J325" s="11"/>
      <c r="K325" s="10"/>
    </row>
    <row r="326" spans="1:11" x14ac:dyDescent="0.5">
      <c r="A326" s="209">
        <f t="shared" si="33"/>
        <v>6</v>
      </c>
      <c r="B326" s="173">
        <f t="shared" si="34"/>
        <v>105.03185964912278</v>
      </c>
      <c r="C326" s="389"/>
      <c r="D326" s="157">
        <f t="shared" si="35"/>
        <v>6</v>
      </c>
      <c r="E326" s="158"/>
      <c r="F326" s="304">
        <f t="shared" si="36"/>
        <v>21</v>
      </c>
      <c r="G326" s="11"/>
      <c r="H326" s="11"/>
      <c r="I326" s="11"/>
      <c r="J326" s="11"/>
      <c r="K326" s="10"/>
    </row>
    <row r="327" spans="1:11" x14ac:dyDescent="0.5">
      <c r="A327" s="209">
        <f t="shared" si="33"/>
        <v>5</v>
      </c>
      <c r="B327" s="173">
        <f t="shared" si="34"/>
        <v>87.526549707602328</v>
      </c>
      <c r="C327" s="389"/>
      <c r="D327" s="308">
        <f t="shared" si="35"/>
        <v>5</v>
      </c>
      <c r="E327" s="303"/>
      <c r="F327" s="309">
        <f t="shared" si="36"/>
        <v>17.5</v>
      </c>
      <c r="G327" s="11"/>
      <c r="H327" s="11"/>
      <c r="I327" s="11"/>
      <c r="J327" s="11"/>
      <c r="K327" s="10"/>
    </row>
    <row r="328" spans="1:11" x14ac:dyDescent="0.5">
      <c r="A328" s="209">
        <f t="shared" si="33"/>
        <v>4</v>
      </c>
      <c r="B328" s="173">
        <f t="shared" si="34"/>
        <v>70.021239766081862</v>
      </c>
      <c r="C328" s="389"/>
      <c r="D328" s="157">
        <f t="shared" si="35"/>
        <v>4</v>
      </c>
      <c r="E328" s="158"/>
      <c r="F328" s="304">
        <f t="shared" si="36"/>
        <v>14</v>
      </c>
      <c r="G328" s="11"/>
      <c r="H328" s="11"/>
      <c r="I328" s="11"/>
      <c r="J328" s="11"/>
      <c r="K328" s="10"/>
    </row>
    <row r="329" spans="1:11" x14ac:dyDescent="0.5">
      <c r="A329" s="209">
        <f t="shared" si="33"/>
        <v>3</v>
      </c>
      <c r="B329" s="173">
        <f t="shared" si="34"/>
        <v>52.51592982456139</v>
      </c>
      <c r="C329" s="389"/>
      <c r="D329" s="308">
        <f t="shared" si="35"/>
        <v>3</v>
      </c>
      <c r="E329" s="303"/>
      <c r="F329" s="309">
        <f t="shared" si="36"/>
        <v>10.5</v>
      </c>
      <c r="G329" s="11"/>
      <c r="H329" s="11"/>
      <c r="I329" s="11"/>
      <c r="J329" s="11"/>
      <c r="K329" s="10"/>
    </row>
    <row r="330" spans="1:11" x14ac:dyDescent="0.5">
      <c r="A330" s="209">
        <f t="shared" si="33"/>
        <v>2</v>
      </c>
      <c r="B330" s="173">
        <f t="shared" si="34"/>
        <v>35.010619883040931</v>
      </c>
      <c r="C330" s="389"/>
      <c r="D330" s="157">
        <f t="shared" si="35"/>
        <v>2</v>
      </c>
      <c r="E330" s="158"/>
      <c r="F330" s="304">
        <f t="shared" si="36"/>
        <v>7</v>
      </c>
      <c r="G330" s="11"/>
      <c r="H330" s="11"/>
      <c r="I330" s="11"/>
      <c r="J330" s="11"/>
      <c r="K330" s="10"/>
    </row>
    <row r="331" spans="1:11" ht="24" thickBot="1" x14ac:dyDescent="0.55000000000000004">
      <c r="A331" s="209">
        <f>+D331</f>
        <v>1</v>
      </c>
      <c r="B331" s="173">
        <f>+F100</f>
        <v>17.505309941520466</v>
      </c>
      <c r="C331" s="389"/>
      <c r="D331" s="312">
        <f>+B100</f>
        <v>1</v>
      </c>
      <c r="E331" s="313"/>
      <c r="F331" s="314">
        <f>+D100</f>
        <v>3.5</v>
      </c>
      <c r="G331" s="11"/>
      <c r="H331" s="11"/>
      <c r="I331" s="11"/>
      <c r="J331" s="11"/>
      <c r="K331" s="10"/>
    </row>
    <row r="332" spans="1:11" x14ac:dyDescent="0.5">
      <c r="A332" s="114"/>
      <c r="B332" s="173"/>
      <c r="C332" s="10"/>
      <c r="D332" s="11"/>
      <c r="E332" s="11"/>
      <c r="F332" s="10"/>
      <c r="G332" s="11"/>
      <c r="H332" s="395" t="str">
        <f>+"Vที่ฐาน"&amp;D43&amp;"tons"</f>
        <v>Vที่ฐาน2993.408tons</v>
      </c>
      <c r="I332" s="396"/>
      <c r="J332" s="11"/>
      <c r="K332" s="10"/>
    </row>
    <row r="333" spans="1:11" x14ac:dyDescent="0.5">
      <c r="A333" s="114"/>
      <c r="B333" s="11"/>
      <c r="C333" s="11"/>
      <c r="D333" s="11"/>
      <c r="E333" s="11"/>
      <c r="F333" s="11"/>
      <c r="G333" s="11"/>
      <c r="H333" s="396"/>
      <c r="I333" s="396"/>
      <c r="J333" s="11"/>
      <c r="K333" s="10"/>
    </row>
    <row r="334" spans="1:11" ht="26.25" x14ac:dyDescent="0.55000000000000004">
      <c r="A334" s="114"/>
      <c r="B334" s="386" t="str">
        <f>+"M ที่ฐาน"&amp;ROUND(I101,2)&amp;"t-m"</f>
        <v>M ที่ฐาน129215.46t-m</v>
      </c>
      <c r="C334" s="386"/>
      <c r="D334" s="11"/>
      <c r="E334" s="116" t="str">
        <f>"กว้าง"   &amp;D3&amp;"m"</f>
        <v>กว้าง40m</v>
      </c>
      <c r="F334" s="11"/>
      <c r="G334" s="11"/>
      <c r="H334" s="11"/>
      <c r="I334" s="11"/>
      <c r="J334" s="11"/>
      <c r="K334" s="10"/>
    </row>
    <row r="335" spans="1:11" x14ac:dyDescent="0.5">
      <c r="A335" s="114"/>
      <c r="B335" s="386"/>
      <c r="C335" s="386"/>
      <c r="D335" s="11"/>
      <c r="E335" s="11"/>
      <c r="F335" s="11"/>
      <c r="G335" s="11"/>
      <c r="H335" s="11"/>
      <c r="I335" s="11"/>
      <c r="J335" s="11"/>
      <c r="K335" s="10"/>
    </row>
    <row r="336" spans="1:11" x14ac:dyDescent="0.5">
      <c r="A336" s="114"/>
      <c r="B336" s="11"/>
      <c r="C336" s="11"/>
      <c r="D336" s="11"/>
      <c r="E336" s="11"/>
      <c r="F336" s="11"/>
      <c r="G336" s="11"/>
      <c r="H336" s="11"/>
      <c r="I336" s="11"/>
      <c r="J336" s="11"/>
      <c r="K336" s="10"/>
    </row>
    <row r="337" spans="1:11" x14ac:dyDescent="0.5">
      <c r="A337" s="114"/>
      <c r="B337" s="11"/>
      <c r="C337" s="11"/>
      <c r="D337" s="11"/>
      <c r="E337" s="11"/>
      <c r="F337" s="11"/>
      <c r="G337" s="11"/>
      <c r="H337" s="11"/>
      <c r="I337" s="11"/>
      <c r="J337" s="11"/>
      <c r="K337" s="10"/>
    </row>
    <row r="338" spans="1:11" x14ac:dyDescent="0.5">
      <c r="A338" s="114"/>
      <c r="B338" s="11"/>
      <c r="C338" s="11"/>
      <c r="D338" s="11"/>
      <c r="E338" s="11"/>
      <c r="F338" s="11"/>
      <c r="G338" s="11"/>
      <c r="H338" s="11"/>
      <c r="I338" s="11"/>
      <c r="J338" s="11"/>
      <c r="K338" s="10"/>
    </row>
    <row r="339" spans="1:11" x14ac:dyDescent="0.5">
      <c r="A339" s="375" t="s">
        <v>345</v>
      </c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</row>
    <row r="340" spans="1:11" x14ac:dyDescent="0.5">
      <c r="A340" s="375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</row>
    <row r="341" spans="1:11" x14ac:dyDescent="0.5">
      <c r="A341" s="114"/>
      <c r="B341" s="11"/>
      <c r="C341" s="11"/>
      <c r="D341" s="11"/>
      <c r="E341" s="11"/>
      <c r="F341" s="11"/>
      <c r="G341" s="11"/>
      <c r="H341" s="11"/>
      <c r="I341" s="11"/>
      <c r="J341" s="11"/>
      <c r="K341" s="10"/>
    </row>
    <row r="342" spans="1:11" ht="24" thickBot="1" x14ac:dyDescent="0.55000000000000004">
      <c r="A342" s="117"/>
      <c r="B342" s="118"/>
      <c r="C342" s="118"/>
      <c r="D342" s="118"/>
      <c r="E342" s="118"/>
      <c r="F342" s="118"/>
      <c r="G342" s="118"/>
      <c r="H342" s="118"/>
      <c r="I342" s="118"/>
      <c r="J342" s="118"/>
      <c r="K342" s="119"/>
    </row>
  </sheetData>
  <sheetProtection selectLockedCells="1"/>
  <mergeCells count="80">
    <mergeCell ref="V19:W19"/>
    <mergeCell ref="V18:W18"/>
    <mergeCell ref="Y18:Z18"/>
    <mergeCell ref="Y19:Z19"/>
    <mergeCell ref="U19:U20"/>
    <mergeCell ref="X19:X20"/>
    <mergeCell ref="B16:K16"/>
    <mergeCell ref="B19:B20"/>
    <mergeCell ref="B17:B18"/>
    <mergeCell ref="C17:J18"/>
    <mergeCell ref="B1:K1"/>
    <mergeCell ref="K17:K18"/>
    <mergeCell ref="A1:A6"/>
    <mergeCell ref="B2:K2"/>
    <mergeCell ref="B7:K7"/>
    <mergeCell ref="A7:A15"/>
    <mergeCell ref="B15:C15"/>
    <mergeCell ref="D15:E15"/>
    <mergeCell ref="F15:G15"/>
    <mergeCell ref="H15:I15"/>
    <mergeCell ref="D26:D27"/>
    <mergeCell ref="E26:F27"/>
    <mergeCell ref="B24:K24"/>
    <mergeCell ref="B25:C25"/>
    <mergeCell ref="D25:J25"/>
    <mergeCell ref="B43:C43"/>
    <mergeCell ref="D47:E47"/>
    <mergeCell ref="D48:E48"/>
    <mergeCell ref="D46:E46"/>
    <mergeCell ref="E44:F45"/>
    <mergeCell ref="B44:B45"/>
    <mergeCell ref="M49:N49"/>
    <mergeCell ref="M54:N54"/>
    <mergeCell ref="F50:G50"/>
    <mergeCell ref="I50:J51"/>
    <mergeCell ref="F53:G53"/>
    <mergeCell ref="I53:J54"/>
    <mergeCell ref="A16:A23"/>
    <mergeCell ref="A24:A41"/>
    <mergeCell ref="K51:K52"/>
    <mergeCell ref="A42:A54"/>
    <mergeCell ref="A57:A114"/>
    <mergeCell ref="G44:G45"/>
    <mergeCell ref="H44:H45"/>
    <mergeCell ref="I44:I45"/>
    <mergeCell ref="H46:I46"/>
    <mergeCell ref="H47:I47"/>
    <mergeCell ref="C23:E23"/>
    <mergeCell ref="B32:B33"/>
    <mergeCell ref="B42:K42"/>
    <mergeCell ref="H26:J26"/>
    <mergeCell ref="G26:G28"/>
    <mergeCell ref="B26:C27"/>
    <mergeCell ref="B334:C335"/>
    <mergeCell ref="E289:H290"/>
    <mergeCell ref="A339:K340"/>
    <mergeCell ref="A284:K285"/>
    <mergeCell ref="A227:K228"/>
    <mergeCell ref="D289:D290"/>
    <mergeCell ref="C292:C331"/>
    <mergeCell ref="G292:K292"/>
    <mergeCell ref="E307:E318"/>
    <mergeCell ref="H332:I333"/>
    <mergeCell ref="B229:K229"/>
    <mergeCell ref="A173:A226"/>
    <mergeCell ref="A229:A283"/>
    <mergeCell ref="W24:W27"/>
    <mergeCell ref="D31:K31"/>
    <mergeCell ref="B31:C31"/>
    <mergeCell ref="B30:C30"/>
    <mergeCell ref="D30:K30"/>
    <mergeCell ref="E39:F39"/>
    <mergeCell ref="D41:I41"/>
    <mergeCell ref="A171:K172"/>
    <mergeCell ref="A115:K116"/>
    <mergeCell ref="A55:K56"/>
    <mergeCell ref="A117:A170"/>
    <mergeCell ref="B119:G119"/>
    <mergeCell ref="B175:G175"/>
    <mergeCell ref="F32:F33"/>
  </mergeCells>
  <dataValidations disablePrompts="1" count="7">
    <dataValidation type="list" allowBlank="1" showInputMessage="1" showErrorMessage="1" sqref="B25">
      <formula1>$N$25:$N$28</formula1>
    </dataValidation>
    <dataValidation type="list" allowBlank="1" showInputMessage="1" showErrorMessage="1" sqref="B17:B18">
      <formula1>$O$17:$O$24</formula1>
    </dataValidation>
    <dataValidation type="list" allowBlank="1" showInputMessage="1" showErrorMessage="1" sqref="AG24">
      <formula1>$X$24:$X$46</formula1>
    </dataValidation>
    <dataValidation type="list" allowBlank="1" showInputMessage="1" showErrorMessage="1" sqref="D41">
      <formula1>$L$40:$L$43</formula1>
    </dataValidation>
    <dataValidation type="list" allowBlank="1" showInputMessage="1" showErrorMessage="1" sqref="C28">
      <formula1>$L$28:$L$29</formula1>
    </dataValidation>
    <dataValidation type="list" allowBlank="1" showInputMessage="1" showErrorMessage="1" sqref="H26:J26">
      <formula1>$X$24:$X$51</formula1>
    </dataValidation>
    <dataValidation type="list" allowBlank="1" showInputMessage="1" showErrorMessage="1" sqref="D5">
      <formula1>$Q$51:$Q$90</formula1>
    </dataValidation>
  </dataValidations>
  <pageMargins left="0.7" right="0.7" top="0.75" bottom="0.75" header="0.3" footer="0.3"/>
  <pageSetup paperSize="9" scale="56" orientation="portrait" horizontalDpi="4294967293" verticalDpi="0" r:id="rId1"/>
  <rowBreaks count="5" manualBreakCount="5">
    <brk id="56" max="10" man="1"/>
    <brk id="116" max="10" man="1"/>
    <brk id="172" max="10" man="1"/>
    <brk id="226" max="10" man="1"/>
    <brk id="283" max="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07"/>
  <sheetViews>
    <sheetView view="pageBreakPreview" topLeftCell="A85" zoomScale="85" zoomScaleNormal="70" zoomScaleSheetLayoutView="85" workbookViewId="0">
      <selection activeCell="J65" sqref="J65"/>
    </sheetView>
  </sheetViews>
  <sheetFormatPr defaultRowHeight="23.25" x14ac:dyDescent="0.5"/>
  <cols>
    <col min="1" max="1" width="7.7109375" customWidth="1"/>
    <col min="2" max="2" width="13.42578125" customWidth="1"/>
    <col min="3" max="3" width="17.85546875" customWidth="1"/>
    <col min="4" max="4" width="16" customWidth="1"/>
    <col min="5" max="5" width="18.28515625" customWidth="1"/>
    <col min="6" max="6" width="15.85546875" customWidth="1"/>
    <col min="7" max="7" width="14.7109375" customWidth="1"/>
    <col min="8" max="8" width="14.28515625" customWidth="1"/>
    <col min="9" max="9" width="13.42578125" customWidth="1"/>
    <col min="10" max="10" width="16" customWidth="1"/>
    <col min="11" max="11" width="14.85546875" style="2" customWidth="1"/>
    <col min="12" max="12" width="1.5703125" customWidth="1"/>
    <col min="13" max="13" width="11.140625" customWidth="1"/>
    <col min="14" max="14" width="11" customWidth="1"/>
    <col min="15" max="15" width="14.28515625" customWidth="1"/>
    <col min="16" max="16" width="15.140625" customWidth="1"/>
    <col min="17" max="17" width="14.140625" bestFit="1" customWidth="1"/>
    <col min="24" max="24" width="23.85546875" customWidth="1"/>
    <col min="25" max="25" width="13.7109375" customWidth="1"/>
    <col min="26" max="26" width="12.140625" customWidth="1"/>
    <col min="27" max="27" width="14.7109375" customWidth="1"/>
  </cols>
  <sheetData>
    <row r="1" spans="1:24" ht="24" thickBot="1" x14ac:dyDescent="0.5500000000000000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T1" s="2" t="s">
        <v>38</v>
      </c>
      <c r="U1" s="2"/>
      <c r="V1" s="2"/>
      <c r="X1" s="2">
        <v>180</v>
      </c>
    </row>
    <row r="2" spans="1:24" x14ac:dyDescent="0.5">
      <c r="A2" s="447" t="s">
        <v>127</v>
      </c>
      <c r="B2" s="465" t="s">
        <v>270</v>
      </c>
      <c r="C2" s="465"/>
      <c r="D2" s="465"/>
      <c r="E2" s="465"/>
      <c r="F2" s="465"/>
      <c r="G2" s="465"/>
      <c r="H2" s="465"/>
      <c r="I2" s="465"/>
      <c r="J2" s="465"/>
      <c r="K2" s="466"/>
      <c r="T2" s="2" t="s">
        <v>39</v>
      </c>
      <c r="U2" s="2"/>
      <c r="V2" s="2"/>
      <c r="X2" s="2">
        <v>310</v>
      </c>
    </row>
    <row r="3" spans="1:24" s="2" customFormat="1" x14ac:dyDescent="0.5">
      <c r="A3" s="448"/>
      <c r="B3" s="450" t="s">
        <v>14</v>
      </c>
      <c r="C3" s="450"/>
      <c r="D3" s="450"/>
      <c r="E3" s="450"/>
      <c r="F3" s="450"/>
      <c r="G3" s="450"/>
      <c r="H3" s="450"/>
      <c r="I3" s="450"/>
      <c r="J3" s="450"/>
      <c r="K3" s="451"/>
      <c r="T3" s="2" t="s">
        <v>37</v>
      </c>
      <c r="X3" s="2">
        <v>360</v>
      </c>
    </row>
    <row r="4" spans="1:24" s="2" customFormat="1" ht="21.95" customHeight="1" x14ac:dyDescent="0.5">
      <c r="A4" s="448"/>
      <c r="B4" s="13" t="s">
        <v>15</v>
      </c>
      <c r="C4" s="13"/>
      <c r="D4" s="100">
        <v>40</v>
      </c>
      <c r="E4" s="13" t="s">
        <v>16</v>
      </c>
      <c r="F4" s="13" t="s">
        <v>19</v>
      </c>
      <c r="G4" s="13"/>
      <c r="H4" s="100">
        <v>80</v>
      </c>
      <c r="I4" s="13" t="s">
        <v>16</v>
      </c>
      <c r="J4" s="13"/>
      <c r="K4" s="14"/>
      <c r="T4" s="2" t="s">
        <v>40</v>
      </c>
      <c r="X4" s="2">
        <v>45</v>
      </c>
    </row>
    <row r="5" spans="1:24" s="2" customFormat="1" ht="21.95" customHeight="1" x14ac:dyDescent="0.5">
      <c r="A5" s="448"/>
      <c r="B5" s="13" t="s">
        <v>17</v>
      </c>
      <c r="C5" s="13"/>
      <c r="D5" s="100">
        <v>63</v>
      </c>
      <c r="E5" s="13" t="s">
        <v>16</v>
      </c>
      <c r="F5" s="13" t="s">
        <v>18</v>
      </c>
      <c r="G5" s="13"/>
      <c r="H5" s="100">
        <v>3.5</v>
      </c>
      <c r="I5" s="13" t="s">
        <v>20</v>
      </c>
      <c r="J5" s="13"/>
      <c r="K5" s="14"/>
      <c r="T5" s="2" t="s">
        <v>41</v>
      </c>
      <c r="X5" s="2">
        <v>90</v>
      </c>
    </row>
    <row r="6" spans="1:24" s="2" customFormat="1" ht="21.95" customHeight="1" x14ac:dyDescent="0.5">
      <c r="A6" s="448"/>
      <c r="B6" s="13" t="s">
        <v>21</v>
      </c>
      <c r="C6" s="13"/>
      <c r="D6" s="100">
        <v>18</v>
      </c>
      <c r="E6" s="13" t="s">
        <v>22</v>
      </c>
      <c r="F6" s="11" t="s">
        <v>97</v>
      </c>
      <c r="G6" s="11"/>
      <c r="H6" s="100">
        <v>240</v>
      </c>
      <c r="I6" s="15" t="s">
        <v>98</v>
      </c>
      <c r="J6" s="13"/>
      <c r="K6" s="14"/>
      <c r="T6" s="2" t="s">
        <v>42</v>
      </c>
      <c r="X6" s="2">
        <v>126</v>
      </c>
    </row>
    <row r="7" spans="1:24" s="2" customFormat="1" ht="21.95" customHeight="1" thickBot="1" x14ac:dyDescent="0.55000000000000004">
      <c r="A7" s="449"/>
      <c r="B7" s="16"/>
      <c r="C7" s="16"/>
      <c r="D7" s="17"/>
      <c r="E7" s="16"/>
      <c r="F7" s="16" t="s">
        <v>96</v>
      </c>
      <c r="G7" s="18"/>
      <c r="H7" s="16">
        <f>ROUND(15210*(H6)^0.5,2)</f>
        <v>235632.31</v>
      </c>
      <c r="I7" s="19" t="s">
        <v>98</v>
      </c>
      <c r="J7" s="16"/>
      <c r="K7" s="20"/>
    </row>
    <row r="8" spans="1:24" s="2" customFormat="1" ht="21.95" customHeight="1" thickBot="1" x14ac:dyDescent="0.55000000000000004">
      <c r="A8" s="454" t="s">
        <v>128</v>
      </c>
      <c r="B8" s="452" t="s">
        <v>53</v>
      </c>
      <c r="C8" s="452"/>
      <c r="D8" s="452"/>
      <c r="E8" s="452"/>
      <c r="F8" s="452"/>
      <c r="G8" s="452"/>
      <c r="H8" s="452"/>
      <c r="I8" s="452"/>
      <c r="J8" s="452"/>
      <c r="K8" s="453"/>
      <c r="T8" s="2" t="s">
        <v>43</v>
      </c>
      <c r="X8" s="2">
        <v>180</v>
      </c>
    </row>
    <row r="9" spans="1:24" s="2" customFormat="1" ht="21.95" customHeight="1" thickBot="1" x14ac:dyDescent="0.55000000000000004">
      <c r="A9" s="455"/>
      <c r="B9" s="87" t="s">
        <v>36</v>
      </c>
      <c r="C9" s="92" t="s">
        <v>31</v>
      </c>
      <c r="D9" s="93" t="s">
        <v>32</v>
      </c>
      <c r="E9" s="92" t="s">
        <v>33</v>
      </c>
      <c r="F9" s="92" t="s">
        <v>54</v>
      </c>
      <c r="G9" s="92" t="s">
        <v>55</v>
      </c>
      <c r="H9" s="92" t="s">
        <v>61</v>
      </c>
      <c r="I9" s="92" t="s">
        <v>125</v>
      </c>
      <c r="J9" s="92" t="s">
        <v>62</v>
      </c>
      <c r="K9" s="92" t="s">
        <v>62</v>
      </c>
      <c r="M9" s="2" t="s">
        <v>68</v>
      </c>
      <c r="O9" s="5">
        <f>(C12)*(D4*H4)</f>
        <v>1536000</v>
      </c>
      <c r="P9" s="8"/>
      <c r="T9" s="2" t="s">
        <v>44</v>
      </c>
      <c r="X9" s="2">
        <v>26</v>
      </c>
    </row>
    <row r="10" spans="1:24" s="2" customFormat="1" ht="21.95" customHeight="1" x14ac:dyDescent="0.5">
      <c r="A10" s="455"/>
      <c r="B10" s="94" t="s">
        <v>34</v>
      </c>
      <c r="C10" s="21"/>
      <c r="D10" s="102">
        <v>0.25</v>
      </c>
      <c r="E10" s="102">
        <v>0.8</v>
      </c>
      <c r="F10" s="21"/>
      <c r="G10" s="21"/>
      <c r="H10" s="21"/>
      <c r="I10" s="102">
        <v>0.25</v>
      </c>
      <c r="J10" s="91"/>
      <c r="K10" s="22"/>
      <c r="M10" s="2" t="s">
        <v>63</v>
      </c>
      <c r="O10" s="5">
        <f>+D12*D15</f>
        <v>64800</v>
      </c>
      <c r="T10" s="2" t="s">
        <v>45</v>
      </c>
      <c r="X10" s="2">
        <v>150</v>
      </c>
    </row>
    <row r="11" spans="1:24" s="2" customFormat="1" ht="21.95" customHeight="1" x14ac:dyDescent="0.5">
      <c r="A11" s="455"/>
      <c r="B11" s="95" t="s">
        <v>35</v>
      </c>
      <c r="C11" s="101">
        <v>0.2</v>
      </c>
      <c r="D11" s="101">
        <v>0.6</v>
      </c>
      <c r="E11" s="101">
        <v>0.8</v>
      </c>
      <c r="F11" s="23"/>
      <c r="G11" s="101">
        <v>0</v>
      </c>
      <c r="H11" s="23"/>
      <c r="I11" s="101">
        <v>0.6</v>
      </c>
      <c r="J11" s="24"/>
      <c r="K11" s="25"/>
      <c r="M11" s="2" t="s">
        <v>54</v>
      </c>
      <c r="O11" s="5">
        <f>+F12*(H5-D11)*D14</f>
        <v>93960</v>
      </c>
      <c r="T11" s="2" t="s">
        <v>46</v>
      </c>
      <c r="X11" s="2">
        <v>180</v>
      </c>
    </row>
    <row r="12" spans="1:24" s="2" customFormat="1" ht="21.95" customHeight="1" x14ac:dyDescent="0.5">
      <c r="A12" s="455"/>
      <c r="B12" s="94" t="s">
        <v>52</v>
      </c>
      <c r="C12" s="26">
        <f>1*C11*2400</f>
        <v>480</v>
      </c>
      <c r="D12" s="27">
        <f>+D10*D11*2400</f>
        <v>360</v>
      </c>
      <c r="E12" s="27">
        <f>+E10*E11*2400</f>
        <v>1536.0000000000002</v>
      </c>
      <c r="F12" s="105">
        <v>180</v>
      </c>
      <c r="G12" s="27">
        <f>+G11*H5*1*2400</f>
        <v>0</v>
      </c>
      <c r="H12" s="105">
        <v>0</v>
      </c>
      <c r="I12" s="27">
        <f>+I10*I11*2400</f>
        <v>360</v>
      </c>
      <c r="J12" s="105">
        <v>0</v>
      </c>
      <c r="K12" s="107">
        <v>0</v>
      </c>
      <c r="M12" s="2" t="s">
        <v>61</v>
      </c>
      <c r="O12" s="5">
        <f>+H12*(D4*H4)</f>
        <v>0</v>
      </c>
      <c r="T12" s="2" t="s">
        <v>47</v>
      </c>
      <c r="X12" s="2">
        <v>240</v>
      </c>
    </row>
    <row r="13" spans="1:24" s="2" customFormat="1" ht="21.95" customHeight="1" thickBot="1" x14ac:dyDescent="0.55000000000000004">
      <c r="A13" s="455"/>
      <c r="B13" s="96" t="s">
        <v>67</v>
      </c>
      <c r="C13" s="28">
        <f>+O9</f>
        <v>1536000</v>
      </c>
      <c r="D13" s="28">
        <f>+O10</f>
        <v>64800</v>
      </c>
      <c r="E13" s="28">
        <f>+O13</f>
        <v>860160.00000000012</v>
      </c>
      <c r="F13" s="28">
        <f>+O11</f>
        <v>93960</v>
      </c>
      <c r="G13" s="28">
        <f>+O14</f>
        <v>0</v>
      </c>
      <c r="H13" s="28">
        <f>+O12</f>
        <v>0</v>
      </c>
      <c r="I13" s="28">
        <f>+I12*J14</f>
        <v>0</v>
      </c>
      <c r="J13" s="29"/>
      <c r="K13" s="30"/>
      <c r="M13" s="2" t="s">
        <v>33</v>
      </c>
      <c r="O13" s="2">
        <f>+E12*H5*G15</f>
        <v>860160.00000000012</v>
      </c>
      <c r="T13" t="s">
        <v>48</v>
      </c>
      <c r="U13"/>
      <c r="V13"/>
      <c r="W13"/>
      <c r="X13">
        <v>12</v>
      </c>
    </row>
    <row r="14" spans="1:24" s="2" customFormat="1" ht="21.95" customHeight="1" x14ac:dyDescent="0.5">
      <c r="A14" s="455"/>
      <c r="B14" s="32" t="s">
        <v>56</v>
      </c>
      <c r="C14" s="31"/>
      <c r="D14" s="103">
        <v>180</v>
      </c>
      <c r="E14" s="32" t="s">
        <v>58</v>
      </c>
      <c r="F14" s="13"/>
      <c r="G14" s="103">
        <v>0</v>
      </c>
      <c r="H14" s="32" t="s">
        <v>126</v>
      </c>
      <c r="I14" s="33"/>
      <c r="J14" s="103">
        <v>0</v>
      </c>
      <c r="K14" s="14"/>
      <c r="M14" s="2" t="s">
        <v>64</v>
      </c>
      <c r="O14" s="2">
        <f>+G12*G14</f>
        <v>0</v>
      </c>
      <c r="T14" s="2" t="s">
        <v>49</v>
      </c>
      <c r="U14"/>
      <c r="V14"/>
      <c r="W14"/>
      <c r="X14">
        <v>15</v>
      </c>
    </row>
    <row r="15" spans="1:24" s="2" customFormat="1" ht="21.95" customHeight="1" x14ac:dyDescent="0.5">
      <c r="A15" s="455"/>
      <c r="B15" s="32" t="s">
        <v>57</v>
      </c>
      <c r="C15" s="31"/>
      <c r="D15" s="104">
        <v>180</v>
      </c>
      <c r="E15" s="32" t="s">
        <v>59</v>
      </c>
      <c r="F15" s="13"/>
      <c r="G15" s="106">
        <v>160</v>
      </c>
      <c r="H15" s="9"/>
      <c r="I15" s="33"/>
      <c r="J15" s="13"/>
      <c r="K15" s="14"/>
      <c r="M15" s="2" t="s">
        <v>125</v>
      </c>
      <c r="N15"/>
      <c r="O15" s="2">
        <f>+I12*J14</f>
        <v>0</v>
      </c>
      <c r="T15" t="s">
        <v>50</v>
      </c>
      <c r="U15"/>
      <c r="V15"/>
      <c r="W15"/>
      <c r="X15">
        <v>68</v>
      </c>
    </row>
    <row r="16" spans="1:24" s="2" customFormat="1" ht="21.95" customHeight="1" thickBot="1" x14ac:dyDescent="0.55000000000000004">
      <c r="A16" s="508"/>
      <c r="B16" s="456" t="s">
        <v>60</v>
      </c>
      <c r="C16" s="456"/>
      <c r="D16" s="457">
        <f>+SUM(O9:O17)/1000</f>
        <v>2554.92</v>
      </c>
      <c r="E16" s="457"/>
      <c r="F16" s="458" t="s">
        <v>66</v>
      </c>
      <c r="G16" s="458"/>
      <c r="H16" s="457">
        <f>ROUND(D16*D6,4)</f>
        <v>45988.56</v>
      </c>
      <c r="I16" s="457"/>
      <c r="J16" s="16"/>
      <c r="K16" s="20"/>
      <c r="M16" s="2" t="s">
        <v>65</v>
      </c>
      <c r="O16" s="2">
        <f>+J12</f>
        <v>0</v>
      </c>
      <c r="T16" t="s">
        <v>51</v>
      </c>
      <c r="U16"/>
      <c r="V16"/>
      <c r="W16"/>
      <c r="X16">
        <v>38</v>
      </c>
    </row>
    <row r="17" spans="1:24" ht="21.95" customHeight="1" x14ac:dyDescent="0.5">
      <c r="A17" s="469" t="s">
        <v>129</v>
      </c>
      <c r="B17" s="491" t="s">
        <v>118</v>
      </c>
      <c r="C17" s="398"/>
      <c r="D17" s="398"/>
      <c r="E17" s="398"/>
      <c r="F17" s="398"/>
      <c r="G17" s="398"/>
      <c r="H17" s="398"/>
      <c r="I17" s="398"/>
      <c r="J17" s="398"/>
      <c r="K17" s="399"/>
      <c r="M17" s="2" t="s">
        <v>65</v>
      </c>
      <c r="O17" s="2">
        <f>+K12</f>
        <v>0</v>
      </c>
    </row>
    <row r="18" spans="1:24" ht="21.95" customHeight="1" x14ac:dyDescent="0.5">
      <c r="A18" s="470"/>
      <c r="B18" s="503">
        <v>1</v>
      </c>
      <c r="C18" s="504"/>
      <c r="D18" s="13">
        <f>+IF(B18=1,0.19,IF(B18=2,0.38))</f>
        <v>0.19</v>
      </c>
      <c r="E18" s="501" t="str">
        <f>+IF(B18=1,"กรุงเทพฯ,ปริมณฑลและภาคใต้",IF(B18=2,"ภาคเหนือและภาคตะวันตก"))</f>
        <v>กรุงเทพฯ,ปริมณฑลและภาคใต้</v>
      </c>
      <c r="F18" s="501"/>
      <c r="G18" s="501"/>
      <c r="H18" s="501"/>
      <c r="I18" s="13"/>
      <c r="J18" s="13"/>
      <c r="K18" s="14"/>
      <c r="N18" t="s">
        <v>1</v>
      </c>
      <c r="O18" t="s">
        <v>2</v>
      </c>
      <c r="R18" t="s">
        <v>0</v>
      </c>
    </row>
    <row r="19" spans="1:24" ht="21.95" customHeight="1" thickBot="1" x14ac:dyDescent="0.55000000000000004">
      <c r="A19" s="471"/>
      <c r="B19" s="34" t="s">
        <v>116</v>
      </c>
      <c r="C19" s="34"/>
      <c r="D19" s="34"/>
      <c r="E19" s="34"/>
      <c r="F19" s="13"/>
      <c r="G19" s="13"/>
      <c r="H19" s="13"/>
      <c r="I19" s="13"/>
      <c r="J19" s="13"/>
      <c r="K19" s="14"/>
      <c r="M19" t="s">
        <v>4</v>
      </c>
      <c r="N19" s="1"/>
      <c r="Q19" s="3">
        <v>1</v>
      </c>
      <c r="R19">
        <v>0.19</v>
      </c>
    </row>
    <row r="20" spans="1:24" ht="21.95" customHeight="1" x14ac:dyDescent="0.5">
      <c r="A20" s="472" t="s">
        <v>130</v>
      </c>
      <c r="B20" s="491" t="s">
        <v>119</v>
      </c>
      <c r="C20" s="491"/>
      <c r="D20" s="491"/>
      <c r="E20" s="491"/>
      <c r="F20" s="491"/>
      <c r="G20" s="491"/>
      <c r="H20" s="491"/>
      <c r="I20" s="491"/>
      <c r="J20" s="491"/>
      <c r="K20" s="492"/>
      <c r="M20" t="s">
        <v>3</v>
      </c>
      <c r="N20" s="1"/>
      <c r="Q20" s="3">
        <v>2</v>
      </c>
      <c r="R20">
        <v>0.38</v>
      </c>
    </row>
    <row r="21" spans="1:24" ht="21.95" customHeight="1" thickBot="1" x14ac:dyDescent="0.55000000000000004">
      <c r="A21" s="473"/>
      <c r="B21" s="323">
        <v>1.25</v>
      </c>
      <c r="D21" s="499" t="str">
        <f>+IF(B21=1,"อาคารอื่นๆ",IF(B21=1.25,"อาคารที่มีคนชุมนุม 300 คนต่อครั้งขึ้นไป อาทิ โรงมหรสรรพ, คอนโดมิเนียม,หอพัก",IF(B21=1.5," อาคารสาธารณะ อาทิ โรงเรียน,สำนักงาน")))</f>
        <v>อาคารที่มีคนชุมนุม 300 คนต่อครั้งขึ้นไป อาทิ โรงมหรสรรพ, คอนโดมิเนียม,หอพัก</v>
      </c>
      <c r="E21" s="499"/>
      <c r="F21" s="499"/>
      <c r="G21" s="499"/>
      <c r="H21" s="499"/>
      <c r="I21" s="499"/>
      <c r="J21" s="499"/>
      <c r="K21" s="500"/>
    </row>
    <row r="22" spans="1:24" ht="21.95" customHeight="1" x14ac:dyDescent="0.5">
      <c r="A22" s="474" t="s">
        <v>131</v>
      </c>
      <c r="B22" s="491" t="s">
        <v>120</v>
      </c>
      <c r="C22" s="398"/>
      <c r="D22" s="398"/>
      <c r="E22" s="398"/>
      <c r="F22" s="398"/>
      <c r="G22" s="398"/>
      <c r="H22" s="398"/>
      <c r="I22" s="398"/>
      <c r="J22" s="398"/>
      <c r="K22" s="399"/>
    </row>
    <row r="23" spans="1:24" ht="21.95" customHeight="1" thickBot="1" x14ac:dyDescent="0.55000000000000004">
      <c r="A23" s="475"/>
      <c r="B23" s="38" t="s">
        <v>12</v>
      </c>
      <c r="C23" s="324">
        <v>1</v>
      </c>
      <c r="D23" s="502" t="str">
        <f>+IF(C23=0.67,"อาคารโครงสร้างเหล็ก",IF(C23=0.8,"อาคารโครงสร้างเหล็กมีกำแพงรับแรงเฉือนหรือโครงแกงแนงร่วมกับโครงสร้าง",IF(C23=1,"โครงสร้างทั่วไป",IF(C23=1.33,"อาคารคสล.มีกำแพงรับแรงเฉือนหรือโครงแกงแนงร่วมกับโครงสร้าง",IF(C23=2.5,"ถังเก็บน้ำสูง")))))</f>
        <v>โครงสร้างทั่วไป</v>
      </c>
      <c r="E23" s="499"/>
      <c r="F23" s="499"/>
      <c r="G23" s="499"/>
      <c r="H23" s="499"/>
      <c r="I23" s="13"/>
      <c r="J23" s="13"/>
      <c r="K23" s="14"/>
      <c r="M23">
        <v>1</v>
      </c>
      <c r="O23" s="4" t="s">
        <v>5</v>
      </c>
    </row>
    <row r="24" spans="1:24" ht="21.95" customHeight="1" x14ac:dyDescent="0.5">
      <c r="A24" s="509" t="s">
        <v>132</v>
      </c>
      <c r="B24" s="491" t="s">
        <v>121</v>
      </c>
      <c r="C24" s="398"/>
      <c r="D24" s="398"/>
      <c r="E24" s="398"/>
      <c r="F24" s="398"/>
      <c r="G24" s="398"/>
      <c r="H24" s="398"/>
      <c r="I24" s="398"/>
      <c r="J24" s="398"/>
      <c r="K24" s="399"/>
      <c r="M24">
        <v>1.25</v>
      </c>
      <c r="O24" s="4" t="s">
        <v>6</v>
      </c>
      <c r="X24" s="330">
        <v>1</v>
      </c>
    </row>
    <row r="25" spans="1:24" ht="21.95" customHeight="1" x14ac:dyDescent="0.5">
      <c r="A25" s="510"/>
      <c r="B25" s="333">
        <v>1</v>
      </c>
      <c r="C25" s="332" t="str">
        <f>+IF(B25=1,"T = 0.09/hn/(D)^0.5",IF(B25=2,"T=0.10N ="))</f>
        <v>T = 0.09/hn/(D)^0.5</v>
      </c>
      <c r="D25" s="329">
        <f>ROUND(IF(B25=1,(0.09*D5/(D4)^0.5),IF(B25=2,0.1*D6)),3)</f>
        <v>0.89700000000000002</v>
      </c>
      <c r="E25" s="235" t="str">
        <f>+IF(B25=1,"อาคารทั่วไป",IF(B25=2,"โครงต้านแรงดัด"))</f>
        <v>อาคารทั่วไป</v>
      </c>
      <c r="F25" s="35" t="s">
        <v>401</v>
      </c>
      <c r="G25" s="13"/>
      <c r="H25" s="13"/>
      <c r="I25" s="13"/>
      <c r="J25" s="13"/>
      <c r="K25" s="14"/>
      <c r="M25">
        <v>1.5</v>
      </c>
      <c r="O25" s="4" t="s">
        <v>7</v>
      </c>
      <c r="X25" s="331">
        <v>2</v>
      </c>
    </row>
    <row r="26" spans="1:24" ht="21.95" customHeight="1" x14ac:dyDescent="0.5">
      <c r="A26" s="510"/>
      <c r="B26" s="13" t="s">
        <v>23</v>
      </c>
      <c r="C26" s="13"/>
      <c r="D26" s="13"/>
      <c r="E26" s="13"/>
      <c r="F26" s="13"/>
      <c r="G26" s="13"/>
      <c r="H26" s="13"/>
      <c r="I26" s="13"/>
      <c r="J26" s="13"/>
      <c r="K26" s="14"/>
      <c r="M26">
        <v>0.67</v>
      </c>
      <c r="N26" t="s">
        <v>8</v>
      </c>
      <c r="R26" s="4"/>
    </row>
    <row r="27" spans="1:24" ht="21.95" customHeight="1" thickBot="1" x14ac:dyDescent="0.55000000000000004">
      <c r="A27" s="511"/>
      <c r="B27" s="13"/>
      <c r="C27" s="9"/>
      <c r="D27" s="13" t="s">
        <v>24</v>
      </c>
      <c r="E27" s="13">
        <f>ROUND(IF((1/(15*(D25)^0.5))&lt;0.12,((1/(15*(D25)^0.5))),IF((1/(15*(D25)^0.5))&gt;0.12,0.12)),4)</f>
        <v>7.0400000000000004E-2</v>
      </c>
      <c r="F27" s="496" t="s">
        <v>25</v>
      </c>
      <c r="G27" s="496"/>
      <c r="H27" s="496"/>
      <c r="I27" s="496"/>
      <c r="J27" s="13"/>
      <c r="K27" s="14"/>
      <c r="M27">
        <v>0.8</v>
      </c>
      <c r="N27" s="2" t="s">
        <v>9</v>
      </c>
    </row>
    <row r="28" spans="1:24" ht="21.95" customHeight="1" x14ac:dyDescent="0.5">
      <c r="A28" s="472" t="s">
        <v>134</v>
      </c>
      <c r="B28" s="493" t="s">
        <v>117</v>
      </c>
      <c r="C28" s="494"/>
      <c r="D28" s="494"/>
      <c r="E28" s="494"/>
      <c r="F28" s="494"/>
      <c r="G28" s="494"/>
      <c r="H28" s="494"/>
      <c r="I28" s="494"/>
      <c r="J28" s="494"/>
      <c r="K28" s="495"/>
      <c r="M28">
        <v>1</v>
      </c>
      <c r="N28" t="s">
        <v>11</v>
      </c>
    </row>
    <row r="29" spans="1:24" ht="21.95" customHeight="1" x14ac:dyDescent="0.5">
      <c r="A29" s="478"/>
      <c r="B29" s="36" t="s">
        <v>30</v>
      </c>
      <c r="C29" s="36"/>
      <c r="D29" s="325">
        <v>2.5</v>
      </c>
      <c r="E29" s="497" t="str">
        <f>+IF(D29=1,"หิน",IF(D29=1.2,"ดินแข็ง",IF(D29=1.5,"ดินอ่อน",IF(D29=2.5,"ดินอ่อนมาก"))))</f>
        <v>ดินอ่อนมาก</v>
      </c>
      <c r="F29" s="498"/>
      <c r="G29" s="498"/>
      <c r="H29" s="36"/>
      <c r="I29" s="36"/>
      <c r="J29" s="36"/>
      <c r="K29" s="37"/>
      <c r="M29">
        <v>1.33</v>
      </c>
      <c r="N29" s="2" t="s">
        <v>13</v>
      </c>
    </row>
    <row r="30" spans="1:24" s="2" customFormat="1" ht="21.95" customHeight="1" x14ac:dyDescent="0.5">
      <c r="A30" s="478"/>
      <c r="B30" s="13" t="s">
        <v>69</v>
      </c>
      <c r="C30" s="38">
        <f>+D29*E27</f>
        <v>0.17600000000000002</v>
      </c>
      <c r="D30" s="11"/>
      <c r="E30" s="38" t="s">
        <v>91</v>
      </c>
      <c r="F30" s="505">
        <v>0.14000000000000001</v>
      </c>
      <c r="G30" s="506"/>
      <c r="H30" s="507"/>
      <c r="I30" s="13"/>
      <c r="J30" s="13"/>
      <c r="K30" s="14"/>
      <c r="M30" s="2">
        <v>2.5</v>
      </c>
      <c r="N30" t="s">
        <v>10</v>
      </c>
      <c r="O30"/>
      <c r="P30"/>
      <c r="Q30"/>
      <c r="R30"/>
      <c r="S30"/>
    </row>
    <row r="31" spans="1:24" s="2" customFormat="1" ht="21.95" customHeight="1" thickBot="1" x14ac:dyDescent="0.55000000000000004">
      <c r="A31" s="473"/>
      <c r="B31" s="16"/>
      <c r="C31" s="39" t="s">
        <v>85</v>
      </c>
      <c r="D31" s="39"/>
      <c r="E31" s="40"/>
      <c r="F31" s="40"/>
      <c r="G31" s="40"/>
      <c r="H31" s="16"/>
      <c r="I31" s="16"/>
      <c r="J31" s="16"/>
      <c r="K31" s="20"/>
    </row>
    <row r="32" spans="1:24" ht="21.95" customHeight="1" x14ac:dyDescent="0.5">
      <c r="A32" s="512" t="s">
        <v>133</v>
      </c>
      <c r="B32" s="491" t="s">
        <v>122</v>
      </c>
      <c r="C32" s="398"/>
      <c r="D32" s="398"/>
      <c r="E32" s="398"/>
      <c r="F32" s="398"/>
      <c r="G32" s="398"/>
      <c r="H32" s="398"/>
      <c r="I32" s="398"/>
      <c r="J32" s="398"/>
      <c r="K32" s="399"/>
      <c r="N32" s="489">
        <f>+IF(C30&gt;0.14,0.14,IF(C30&lt;0.14,C30))</f>
        <v>0.14000000000000001</v>
      </c>
      <c r="O32" s="489"/>
      <c r="P32" s="489"/>
      <c r="Q32" s="489"/>
      <c r="R32" s="489"/>
    </row>
    <row r="33" spans="1:20" ht="30" customHeight="1" thickBot="1" x14ac:dyDescent="0.6">
      <c r="A33" s="513"/>
      <c r="B33" s="236" t="s">
        <v>70</v>
      </c>
      <c r="C33" s="41">
        <f>ROUND(D18*B21*C23*C30,4)</f>
        <v>4.1799999999999997E-2</v>
      </c>
      <c r="D33" s="42">
        <f>ROUND(C33*100,4)</f>
        <v>4.18</v>
      </c>
      <c r="E33" s="42" t="s">
        <v>71</v>
      </c>
      <c r="F33" s="9"/>
      <c r="G33" s="43" t="s">
        <v>112</v>
      </c>
      <c r="H33" s="44">
        <f>ROUND(C33*H16,4)</f>
        <v>1922.3217999999999</v>
      </c>
      <c r="I33" s="42" t="s">
        <v>72</v>
      </c>
      <c r="J33" s="42"/>
      <c r="K33" s="45"/>
      <c r="M33" s="2"/>
      <c r="N33" s="490">
        <f>+IF(C30&gt;0.26,0.26,IF(C30&lt;0.26,C30))</f>
        <v>0.17600000000000002</v>
      </c>
      <c r="O33" s="490"/>
      <c r="P33" s="490"/>
      <c r="Q33" s="490"/>
      <c r="R33" s="490"/>
      <c r="T33">
        <v>0.67</v>
      </c>
    </row>
    <row r="34" spans="1:20" ht="21.95" customHeight="1" x14ac:dyDescent="0.5">
      <c r="A34" s="472" t="s">
        <v>135</v>
      </c>
      <c r="B34" s="491" t="s">
        <v>123</v>
      </c>
      <c r="C34" s="398"/>
      <c r="D34" s="398"/>
      <c r="E34" s="398"/>
      <c r="F34" s="398"/>
      <c r="G34" s="398"/>
      <c r="H34" s="398"/>
      <c r="I34" s="398"/>
      <c r="J34" s="398"/>
      <c r="K34" s="399"/>
      <c r="N34" t="s">
        <v>26</v>
      </c>
      <c r="O34">
        <v>1</v>
      </c>
      <c r="T34">
        <v>0.8</v>
      </c>
    </row>
    <row r="35" spans="1:20" ht="21.95" customHeight="1" x14ac:dyDescent="0.5">
      <c r="A35" s="478"/>
      <c r="B35" s="36" t="s">
        <v>73</v>
      </c>
      <c r="C35" s="36">
        <f>+D25</f>
        <v>0.89700000000000002</v>
      </c>
      <c r="D35" s="36" t="s">
        <v>74</v>
      </c>
      <c r="E35" s="36" t="s">
        <v>75</v>
      </c>
      <c r="F35" s="46">
        <f>+IF(C35&lt;0.7,0,IF(C35&gt;0.7,C35))</f>
        <v>0.89700000000000002</v>
      </c>
      <c r="G35" s="36" t="s">
        <v>76</v>
      </c>
      <c r="H35" s="36"/>
      <c r="I35" s="36"/>
      <c r="J35" s="36"/>
      <c r="K35" s="37"/>
      <c r="N35" t="s">
        <v>27</v>
      </c>
      <c r="O35">
        <v>1.2</v>
      </c>
      <c r="T35">
        <v>1</v>
      </c>
    </row>
    <row r="36" spans="1:20" ht="21.95" customHeight="1" x14ac:dyDescent="0.5">
      <c r="A36" s="478"/>
      <c r="B36" s="13"/>
      <c r="C36" s="13"/>
      <c r="D36" s="13"/>
      <c r="E36" s="13" t="s">
        <v>77</v>
      </c>
      <c r="F36" s="13"/>
      <c r="G36" s="47" t="str">
        <f>+IF(F35&lt;(0.25*H33),"OK","NO")</f>
        <v>OK</v>
      </c>
      <c r="H36" s="13"/>
      <c r="I36" s="13"/>
      <c r="J36" s="13"/>
      <c r="K36" s="14"/>
      <c r="N36" t="s">
        <v>28</v>
      </c>
      <c r="O36">
        <v>1.5</v>
      </c>
      <c r="T36">
        <v>1.33</v>
      </c>
    </row>
    <row r="37" spans="1:20" x14ac:dyDescent="0.5">
      <c r="A37" s="478"/>
      <c r="B37" s="11" t="s">
        <v>78</v>
      </c>
      <c r="C37" s="11"/>
      <c r="D37" s="11" t="s">
        <v>88</v>
      </c>
      <c r="E37" s="13" t="s">
        <v>89</v>
      </c>
      <c r="F37" s="48" t="s">
        <v>92</v>
      </c>
      <c r="G37" s="49">
        <f>ROUND(H16*(D4/2),3)</f>
        <v>919771.2</v>
      </c>
      <c r="H37" s="11" t="s">
        <v>90</v>
      </c>
      <c r="I37" s="11"/>
      <c r="J37" s="11"/>
      <c r="K37" s="50"/>
      <c r="N37" t="s">
        <v>29</v>
      </c>
      <c r="O37">
        <v>2.5</v>
      </c>
      <c r="T37" s="2">
        <v>2.5</v>
      </c>
    </row>
    <row r="38" spans="1:20" s="2" customFormat="1" ht="24" thickBot="1" x14ac:dyDescent="0.55000000000000004">
      <c r="A38" s="473"/>
      <c r="B38" s="18"/>
      <c r="C38" s="18"/>
      <c r="D38" s="18"/>
      <c r="E38" s="18"/>
      <c r="F38" s="18"/>
      <c r="G38" s="18"/>
      <c r="H38" s="11"/>
      <c r="I38" s="18"/>
      <c r="J38" s="18"/>
      <c r="K38" s="51"/>
    </row>
    <row r="39" spans="1:20" s="6" customFormat="1" ht="21" customHeight="1" x14ac:dyDescent="0.4">
      <c r="A39" s="52"/>
      <c r="B39" s="129" t="s">
        <v>22</v>
      </c>
      <c r="C39" s="129" t="s">
        <v>79</v>
      </c>
      <c r="D39" s="129" t="s">
        <v>80</v>
      </c>
      <c r="E39" s="129" t="s">
        <v>81</v>
      </c>
      <c r="F39" s="129" t="s">
        <v>84</v>
      </c>
      <c r="G39" s="130" t="s">
        <v>82</v>
      </c>
      <c r="H39" s="140" t="s">
        <v>86</v>
      </c>
      <c r="I39" s="186"/>
      <c r="J39" s="140" t="s">
        <v>87</v>
      </c>
      <c r="K39" s="52"/>
    </row>
    <row r="40" spans="1:20" s="6" customFormat="1" ht="21" customHeight="1" x14ac:dyDescent="0.4">
      <c r="A40" s="52"/>
      <c r="B40" s="230"/>
      <c r="C40" s="108"/>
      <c r="D40" s="134">
        <f>+$H$5*B40</f>
        <v>0</v>
      </c>
      <c r="E40" s="135">
        <f>+C40*D40</f>
        <v>0</v>
      </c>
      <c r="F40" s="136">
        <f>+E40/$E$80</f>
        <v>0</v>
      </c>
      <c r="G40" s="136">
        <f>ROUND(($H$33-$F$35)*F40*$F$80,4)</f>
        <v>0</v>
      </c>
      <c r="H40" s="187">
        <f>+G40</f>
        <v>0</v>
      </c>
      <c r="I40" s="174">
        <v>0</v>
      </c>
      <c r="J40" s="138">
        <f>+ROUND(IF(I39=0,0,IF(I39=1,(H39*($H$5)+J39))),2)</f>
        <v>0</v>
      </c>
      <c r="K40" s="52"/>
      <c r="N40" s="6">
        <f t="shared" ref="N40:N60" si="0">+IF(I39=0,0,IF(I39=1,(H39*($H$5)+J39)))</f>
        <v>0</v>
      </c>
    </row>
    <row r="41" spans="1:20" s="6" customFormat="1" ht="15" customHeight="1" x14ac:dyDescent="0.4">
      <c r="A41" s="52"/>
      <c r="B41" s="230"/>
      <c r="C41" s="108"/>
      <c r="D41" s="88">
        <f t="shared" ref="D41:D59" si="1">+$H$5*B41</f>
        <v>0</v>
      </c>
      <c r="E41" s="53">
        <f t="shared" ref="E41:E59" si="2">+C41*D41</f>
        <v>0</v>
      </c>
      <c r="F41" s="54">
        <f t="shared" ref="F41:F59" si="3">+E41/$E$80</f>
        <v>0</v>
      </c>
      <c r="G41" s="54">
        <f t="shared" ref="G41:G59" si="4">ROUND(($H$33-$F$35)*F41*$F$80,4)</f>
        <v>0</v>
      </c>
      <c r="H41" s="177">
        <f>+G41+H40</f>
        <v>0</v>
      </c>
      <c r="I41" s="174">
        <v>0</v>
      </c>
      <c r="J41" s="138">
        <f>+ROUND(IF(I40=0,0,IF(I40=1,(H40*($H$5)+J40))),2)</f>
        <v>0</v>
      </c>
      <c r="K41" s="52"/>
      <c r="N41" s="6">
        <f t="shared" si="0"/>
        <v>0</v>
      </c>
    </row>
    <row r="42" spans="1:20" s="6" customFormat="1" ht="15" customHeight="1" x14ac:dyDescent="0.4">
      <c r="A42" s="52"/>
      <c r="B42" s="230"/>
      <c r="C42" s="108"/>
      <c r="D42" s="88">
        <f t="shared" si="1"/>
        <v>0</v>
      </c>
      <c r="E42" s="53">
        <f t="shared" si="2"/>
        <v>0</v>
      </c>
      <c r="F42" s="54">
        <f t="shared" si="3"/>
        <v>0</v>
      </c>
      <c r="G42" s="54">
        <f t="shared" si="4"/>
        <v>0</v>
      </c>
      <c r="H42" s="177">
        <f t="shared" ref="H42:H44" si="5">+G42+H41</f>
        <v>0</v>
      </c>
      <c r="I42" s="174">
        <v>0</v>
      </c>
      <c r="J42" s="138">
        <f>+ROUND(IF(I41=0,0,IF(I41=1,(H41*($H$5)+J41))),2)</f>
        <v>0</v>
      </c>
      <c r="K42" s="52"/>
      <c r="N42" s="6">
        <f t="shared" si="0"/>
        <v>0</v>
      </c>
    </row>
    <row r="43" spans="1:20" s="6" customFormat="1" ht="15" customHeight="1" x14ac:dyDescent="0.4">
      <c r="A43" s="52"/>
      <c r="B43" s="230"/>
      <c r="C43" s="108"/>
      <c r="D43" s="88">
        <f t="shared" si="1"/>
        <v>0</v>
      </c>
      <c r="E43" s="53">
        <f t="shared" si="2"/>
        <v>0</v>
      </c>
      <c r="F43" s="54">
        <f t="shared" si="3"/>
        <v>0</v>
      </c>
      <c r="G43" s="54">
        <f t="shared" si="4"/>
        <v>0</v>
      </c>
      <c r="H43" s="177">
        <f t="shared" si="5"/>
        <v>0</v>
      </c>
      <c r="I43" s="174">
        <v>0</v>
      </c>
      <c r="J43" s="138">
        <f t="shared" ref="J43:J60" si="6">+ROUND(IF(I42=0,0,IF(I42=1,(H42*($H$5)+J42))),2)</f>
        <v>0</v>
      </c>
      <c r="K43" s="52"/>
      <c r="N43" s="6">
        <f t="shared" si="0"/>
        <v>0</v>
      </c>
    </row>
    <row r="44" spans="1:20" s="6" customFormat="1" ht="15" customHeight="1" x14ac:dyDescent="0.4">
      <c r="A44" s="52"/>
      <c r="B44" s="230"/>
      <c r="C44" s="108"/>
      <c r="D44" s="88">
        <f t="shared" si="1"/>
        <v>0</v>
      </c>
      <c r="E44" s="53">
        <f t="shared" si="2"/>
        <v>0</v>
      </c>
      <c r="F44" s="54">
        <f t="shared" si="3"/>
        <v>0</v>
      </c>
      <c r="G44" s="54">
        <f t="shared" si="4"/>
        <v>0</v>
      </c>
      <c r="H44" s="177">
        <f t="shared" si="5"/>
        <v>0</v>
      </c>
      <c r="I44" s="174">
        <v>0</v>
      </c>
      <c r="J44" s="138">
        <f>+ROUND(IF(I43=0,0,IF(I43=1,(H43*($H$5)+J43))),2)</f>
        <v>0</v>
      </c>
      <c r="K44" s="52"/>
      <c r="N44" s="6">
        <f t="shared" si="0"/>
        <v>0</v>
      </c>
    </row>
    <row r="45" spans="1:20" s="6" customFormat="1" ht="15" customHeight="1" x14ac:dyDescent="0.4">
      <c r="A45" s="52"/>
      <c r="B45" s="230"/>
      <c r="C45" s="108"/>
      <c r="D45" s="88">
        <f t="shared" si="1"/>
        <v>0</v>
      </c>
      <c r="E45" s="53">
        <f t="shared" si="2"/>
        <v>0</v>
      </c>
      <c r="F45" s="54">
        <f t="shared" si="3"/>
        <v>0</v>
      </c>
      <c r="G45" s="54">
        <f t="shared" si="4"/>
        <v>0</v>
      </c>
      <c r="H45" s="177">
        <f t="shared" ref="H45:H52" si="7">+G45+H44</f>
        <v>0</v>
      </c>
      <c r="I45" s="174">
        <v>0</v>
      </c>
      <c r="J45" s="138">
        <f t="shared" si="6"/>
        <v>0</v>
      </c>
      <c r="K45" s="52"/>
      <c r="N45" s="6">
        <f t="shared" si="0"/>
        <v>0</v>
      </c>
    </row>
    <row r="46" spans="1:20" s="6" customFormat="1" ht="15" customHeight="1" x14ac:dyDescent="0.4">
      <c r="A46" s="52"/>
      <c r="B46" s="230"/>
      <c r="C46" s="108"/>
      <c r="D46" s="88">
        <f t="shared" si="1"/>
        <v>0</v>
      </c>
      <c r="E46" s="53">
        <f t="shared" si="2"/>
        <v>0</v>
      </c>
      <c r="F46" s="54">
        <f t="shared" si="3"/>
        <v>0</v>
      </c>
      <c r="G46" s="54">
        <f t="shared" si="4"/>
        <v>0</v>
      </c>
      <c r="H46" s="177">
        <f t="shared" si="7"/>
        <v>0</v>
      </c>
      <c r="I46" s="174">
        <v>0</v>
      </c>
      <c r="J46" s="138">
        <f t="shared" si="6"/>
        <v>0</v>
      </c>
      <c r="K46" s="52"/>
      <c r="N46" s="6">
        <f t="shared" si="0"/>
        <v>0</v>
      </c>
    </row>
    <row r="47" spans="1:20" s="6" customFormat="1" ht="15" customHeight="1" x14ac:dyDescent="0.4">
      <c r="A47" s="52"/>
      <c r="B47" s="230"/>
      <c r="C47" s="108"/>
      <c r="D47" s="88">
        <f t="shared" si="1"/>
        <v>0</v>
      </c>
      <c r="E47" s="53">
        <f t="shared" si="2"/>
        <v>0</v>
      </c>
      <c r="F47" s="54">
        <f t="shared" si="3"/>
        <v>0</v>
      </c>
      <c r="G47" s="54">
        <f t="shared" si="4"/>
        <v>0</v>
      </c>
      <c r="H47" s="177">
        <f t="shared" si="7"/>
        <v>0</v>
      </c>
      <c r="I47" s="174">
        <v>0</v>
      </c>
      <c r="J47" s="138">
        <f t="shared" si="6"/>
        <v>0</v>
      </c>
      <c r="K47" s="52"/>
      <c r="N47" s="6">
        <f t="shared" si="0"/>
        <v>0</v>
      </c>
    </row>
    <row r="48" spans="1:20" s="6" customFormat="1" ht="15" customHeight="1" x14ac:dyDescent="0.4">
      <c r="A48" s="52"/>
      <c r="B48" s="230"/>
      <c r="C48" s="108"/>
      <c r="D48" s="88">
        <f t="shared" si="1"/>
        <v>0</v>
      </c>
      <c r="E48" s="53">
        <f t="shared" si="2"/>
        <v>0</v>
      </c>
      <c r="F48" s="54">
        <f t="shared" si="3"/>
        <v>0</v>
      </c>
      <c r="G48" s="54">
        <f t="shared" si="4"/>
        <v>0</v>
      </c>
      <c r="H48" s="177">
        <f t="shared" si="7"/>
        <v>0</v>
      </c>
      <c r="I48" s="174">
        <v>0</v>
      </c>
      <c r="J48" s="138">
        <f t="shared" si="6"/>
        <v>0</v>
      </c>
      <c r="K48" s="52"/>
      <c r="N48" s="6">
        <f t="shared" si="0"/>
        <v>0</v>
      </c>
    </row>
    <row r="49" spans="1:14" s="6" customFormat="1" ht="15" customHeight="1" x14ac:dyDescent="0.4">
      <c r="A49" s="52"/>
      <c r="B49" s="230"/>
      <c r="C49" s="108"/>
      <c r="D49" s="88">
        <f t="shared" si="1"/>
        <v>0</v>
      </c>
      <c r="E49" s="53">
        <f t="shared" si="2"/>
        <v>0</v>
      </c>
      <c r="F49" s="54">
        <f t="shared" si="3"/>
        <v>0</v>
      </c>
      <c r="G49" s="54">
        <f t="shared" si="4"/>
        <v>0</v>
      </c>
      <c r="H49" s="177">
        <f t="shared" si="7"/>
        <v>0</v>
      </c>
      <c r="I49" s="174">
        <v>0</v>
      </c>
      <c r="J49" s="138">
        <f t="shared" si="6"/>
        <v>0</v>
      </c>
      <c r="K49" s="52"/>
      <c r="N49" s="6">
        <f t="shared" si="0"/>
        <v>0</v>
      </c>
    </row>
    <row r="50" spans="1:14" s="6" customFormat="1" ht="15" customHeight="1" x14ac:dyDescent="0.4">
      <c r="A50" s="52"/>
      <c r="B50" s="230"/>
      <c r="C50" s="108"/>
      <c r="D50" s="88">
        <f t="shared" si="1"/>
        <v>0</v>
      </c>
      <c r="E50" s="53">
        <f t="shared" si="2"/>
        <v>0</v>
      </c>
      <c r="F50" s="54">
        <f t="shared" si="3"/>
        <v>0</v>
      </c>
      <c r="G50" s="54">
        <f t="shared" si="4"/>
        <v>0</v>
      </c>
      <c r="H50" s="177">
        <f t="shared" si="7"/>
        <v>0</v>
      </c>
      <c r="I50" s="174">
        <v>0</v>
      </c>
      <c r="J50" s="138">
        <f t="shared" si="6"/>
        <v>0</v>
      </c>
      <c r="K50" s="52"/>
      <c r="N50" s="6">
        <f t="shared" si="0"/>
        <v>0</v>
      </c>
    </row>
    <row r="51" spans="1:14" s="6" customFormat="1" ht="15" customHeight="1" x14ac:dyDescent="0.4">
      <c r="A51" s="52"/>
      <c r="B51" s="230"/>
      <c r="C51" s="108"/>
      <c r="D51" s="88">
        <f t="shared" si="1"/>
        <v>0</v>
      </c>
      <c r="E51" s="53">
        <f t="shared" si="2"/>
        <v>0</v>
      </c>
      <c r="F51" s="54">
        <f t="shared" si="3"/>
        <v>0</v>
      </c>
      <c r="G51" s="54">
        <f t="shared" si="4"/>
        <v>0</v>
      </c>
      <c r="H51" s="177">
        <f t="shared" si="7"/>
        <v>0</v>
      </c>
      <c r="I51" s="174">
        <v>0</v>
      </c>
      <c r="J51" s="138">
        <f t="shared" si="6"/>
        <v>0</v>
      </c>
      <c r="K51" s="52"/>
      <c r="N51" s="6">
        <f t="shared" si="0"/>
        <v>0</v>
      </c>
    </row>
    <row r="52" spans="1:14" s="6" customFormat="1" ht="15" customHeight="1" x14ac:dyDescent="0.4">
      <c r="A52" s="52"/>
      <c r="B52" s="230"/>
      <c r="C52" s="108"/>
      <c r="D52" s="88">
        <f t="shared" si="1"/>
        <v>0</v>
      </c>
      <c r="E52" s="53">
        <f t="shared" si="2"/>
        <v>0</v>
      </c>
      <c r="F52" s="54">
        <f t="shared" si="3"/>
        <v>0</v>
      </c>
      <c r="G52" s="54">
        <f t="shared" si="4"/>
        <v>0</v>
      </c>
      <c r="H52" s="177">
        <f t="shared" si="7"/>
        <v>0</v>
      </c>
      <c r="I52" s="174">
        <v>0</v>
      </c>
      <c r="J52" s="138">
        <f t="shared" si="6"/>
        <v>0</v>
      </c>
      <c r="K52" s="52"/>
      <c r="N52" s="6">
        <f t="shared" si="0"/>
        <v>0</v>
      </c>
    </row>
    <row r="53" spans="1:14" s="6" customFormat="1" ht="15" customHeight="1" x14ac:dyDescent="0.4">
      <c r="A53" s="52"/>
      <c r="B53" s="230"/>
      <c r="C53" s="108"/>
      <c r="D53" s="88">
        <f t="shared" si="1"/>
        <v>0</v>
      </c>
      <c r="E53" s="53">
        <f t="shared" si="2"/>
        <v>0</v>
      </c>
      <c r="F53" s="54">
        <f t="shared" si="3"/>
        <v>0</v>
      </c>
      <c r="G53" s="54">
        <f t="shared" si="4"/>
        <v>0</v>
      </c>
      <c r="H53" s="177">
        <f t="shared" ref="H53:H62" si="8">+G53+H52</f>
        <v>0</v>
      </c>
      <c r="I53" s="174">
        <v>0</v>
      </c>
      <c r="J53" s="138">
        <f t="shared" si="6"/>
        <v>0</v>
      </c>
      <c r="K53" s="52"/>
      <c r="N53" s="6">
        <f t="shared" si="0"/>
        <v>0</v>
      </c>
    </row>
    <row r="54" spans="1:14" s="6" customFormat="1" ht="15" customHeight="1" x14ac:dyDescent="0.4">
      <c r="A54" s="52"/>
      <c r="B54" s="230"/>
      <c r="C54" s="108"/>
      <c r="D54" s="88">
        <f t="shared" si="1"/>
        <v>0</v>
      </c>
      <c r="E54" s="53">
        <f t="shared" si="2"/>
        <v>0</v>
      </c>
      <c r="F54" s="54">
        <f t="shared" si="3"/>
        <v>0</v>
      </c>
      <c r="G54" s="54">
        <f t="shared" si="4"/>
        <v>0</v>
      </c>
      <c r="H54" s="177">
        <f t="shared" si="8"/>
        <v>0</v>
      </c>
      <c r="I54" s="174">
        <v>0</v>
      </c>
      <c r="J54" s="138">
        <f t="shared" si="6"/>
        <v>0</v>
      </c>
      <c r="K54" s="52"/>
      <c r="N54" s="6">
        <f t="shared" si="0"/>
        <v>0</v>
      </c>
    </row>
    <row r="55" spans="1:14" s="6" customFormat="1" ht="15" customHeight="1" x14ac:dyDescent="0.4">
      <c r="A55" s="52"/>
      <c r="B55" s="230"/>
      <c r="C55" s="108"/>
      <c r="D55" s="88">
        <f t="shared" si="1"/>
        <v>0</v>
      </c>
      <c r="E55" s="53">
        <f t="shared" si="2"/>
        <v>0</v>
      </c>
      <c r="F55" s="54">
        <f t="shared" si="3"/>
        <v>0</v>
      </c>
      <c r="G55" s="54">
        <f t="shared" si="4"/>
        <v>0</v>
      </c>
      <c r="H55" s="177">
        <f t="shared" si="8"/>
        <v>0</v>
      </c>
      <c r="I55" s="174">
        <v>0</v>
      </c>
      <c r="J55" s="138">
        <f t="shared" si="6"/>
        <v>0</v>
      </c>
      <c r="K55" s="52"/>
      <c r="N55" s="6">
        <f t="shared" si="0"/>
        <v>0</v>
      </c>
    </row>
    <row r="56" spans="1:14" s="6" customFormat="1" ht="15" customHeight="1" x14ac:dyDescent="0.4">
      <c r="A56" s="52"/>
      <c r="B56" s="230"/>
      <c r="C56" s="108"/>
      <c r="D56" s="88">
        <f t="shared" si="1"/>
        <v>0</v>
      </c>
      <c r="E56" s="53">
        <f t="shared" si="2"/>
        <v>0</v>
      </c>
      <c r="F56" s="54">
        <f t="shared" si="3"/>
        <v>0</v>
      </c>
      <c r="G56" s="54">
        <f t="shared" si="4"/>
        <v>0</v>
      </c>
      <c r="H56" s="177">
        <f t="shared" si="8"/>
        <v>0</v>
      </c>
      <c r="I56" s="174">
        <v>0</v>
      </c>
      <c r="J56" s="138">
        <f t="shared" si="6"/>
        <v>0</v>
      </c>
      <c r="K56" s="52"/>
      <c r="N56" s="6">
        <f t="shared" si="0"/>
        <v>0</v>
      </c>
    </row>
    <row r="57" spans="1:14" s="6" customFormat="1" ht="15" customHeight="1" x14ac:dyDescent="0.4">
      <c r="A57" s="52"/>
      <c r="B57" s="230"/>
      <c r="C57" s="108"/>
      <c r="D57" s="88">
        <f t="shared" si="1"/>
        <v>0</v>
      </c>
      <c r="E57" s="53">
        <f t="shared" si="2"/>
        <v>0</v>
      </c>
      <c r="F57" s="54">
        <f t="shared" si="3"/>
        <v>0</v>
      </c>
      <c r="G57" s="54">
        <f t="shared" si="4"/>
        <v>0</v>
      </c>
      <c r="H57" s="177">
        <f t="shared" si="8"/>
        <v>0</v>
      </c>
      <c r="I57" s="174">
        <v>0</v>
      </c>
      <c r="J57" s="138">
        <f t="shared" si="6"/>
        <v>0</v>
      </c>
      <c r="K57" s="52"/>
      <c r="N57" s="6">
        <f t="shared" si="0"/>
        <v>0</v>
      </c>
    </row>
    <row r="58" spans="1:14" s="6" customFormat="1" ht="15" customHeight="1" x14ac:dyDescent="0.4">
      <c r="A58" s="52"/>
      <c r="B58" s="230"/>
      <c r="C58" s="108"/>
      <c r="D58" s="88">
        <f t="shared" si="1"/>
        <v>0</v>
      </c>
      <c r="E58" s="53">
        <f t="shared" si="2"/>
        <v>0</v>
      </c>
      <c r="F58" s="54">
        <f t="shared" si="3"/>
        <v>0</v>
      </c>
      <c r="G58" s="54">
        <f t="shared" si="4"/>
        <v>0</v>
      </c>
      <c r="H58" s="177">
        <f t="shared" si="8"/>
        <v>0</v>
      </c>
      <c r="I58" s="174">
        <v>0</v>
      </c>
      <c r="J58" s="138">
        <f t="shared" si="6"/>
        <v>0</v>
      </c>
      <c r="K58" s="52"/>
      <c r="N58" s="6">
        <f t="shared" si="0"/>
        <v>0</v>
      </c>
    </row>
    <row r="59" spans="1:14" s="6" customFormat="1" ht="15" customHeight="1" x14ac:dyDescent="0.4">
      <c r="A59" s="52"/>
      <c r="B59" s="230"/>
      <c r="C59" s="108"/>
      <c r="D59" s="88">
        <f t="shared" si="1"/>
        <v>0</v>
      </c>
      <c r="E59" s="53">
        <f t="shared" si="2"/>
        <v>0</v>
      </c>
      <c r="F59" s="54">
        <f t="shared" si="3"/>
        <v>0</v>
      </c>
      <c r="G59" s="54">
        <f t="shared" si="4"/>
        <v>0</v>
      </c>
      <c r="H59" s="177">
        <f t="shared" si="8"/>
        <v>0</v>
      </c>
      <c r="I59" s="174">
        <v>0</v>
      </c>
      <c r="J59" s="138">
        <f t="shared" si="6"/>
        <v>0</v>
      </c>
      <c r="K59" s="52"/>
      <c r="N59" s="6">
        <f t="shared" si="0"/>
        <v>0</v>
      </c>
    </row>
    <row r="60" spans="1:14" s="6" customFormat="1" ht="15" customHeight="1" x14ac:dyDescent="0.4">
      <c r="A60" s="52"/>
      <c r="B60" s="230"/>
      <c r="C60" s="108"/>
      <c r="D60" s="88">
        <f t="shared" ref="D60:D69" si="9">+$H$5*B60</f>
        <v>0</v>
      </c>
      <c r="E60" s="53">
        <f>+C60*D60</f>
        <v>0</v>
      </c>
      <c r="F60" s="54">
        <f t="shared" ref="F60:F70" si="10">+E60/$E$80</f>
        <v>0</v>
      </c>
      <c r="G60" s="54">
        <f t="shared" ref="G60:G79" si="11">ROUND(($H$33-$F$35)*F60*$F$80,4)</f>
        <v>0</v>
      </c>
      <c r="H60" s="177">
        <f t="shared" si="8"/>
        <v>0</v>
      </c>
      <c r="I60" s="174">
        <v>0</v>
      </c>
      <c r="J60" s="138">
        <f t="shared" si="6"/>
        <v>0</v>
      </c>
      <c r="K60" s="52"/>
      <c r="N60" s="6">
        <f t="shared" si="0"/>
        <v>0</v>
      </c>
    </row>
    <row r="61" spans="1:14" s="6" customFormat="1" ht="15" customHeight="1" x14ac:dyDescent="0.4">
      <c r="A61" s="52"/>
      <c r="B61" s="232"/>
      <c r="C61" s="108"/>
      <c r="D61" s="89">
        <f t="shared" si="9"/>
        <v>0</v>
      </c>
      <c r="E61" s="55">
        <f t="shared" ref="E61:E70" si="12">+C61*D61</f>
        <v>0</v>
      </c>
      <c r="F61" s="56">
        <f t="shared" si="10"/>
        <v>0</v>
      </c>
      <c r="G61" s="56">
        <f t="shared" si="11"/>
        <v>0</v>
      </c>
      <c r="H61" s="177">
        <f t="shared" si="8"/>
        <v>0</v>
      </c>
      <c r="I61" s="174">
        <v>0</v>
      </c>
      <c r="J61" s="138">
        <f>+ROUND(IF(I60=0,0,IF(I60=1,(H60*($H$5)+J60))),2)</f>
        <v>0</v>
      </c>
      <c r="K61" s="52"/>
      <c r="N61" s="6">
        <f t="shared" ref="N61:N80" si="13">+IF(I60=0,0,IF(I60=1,(H60*($H$5)+J60)))</f>
        <v>0</v>
      </c>
    </row>
    <row r="62" spans="1:14" s="6" customFormat="1" ht="15" customHeight="1" x14ac:dyDescent="0.4">
      <c r="A62" s="52"/>
      <c r="B62" s="234">
        <f t="shared" ref="B62:B69" si="14">+B63+1</f>
        <v>18</v>
      </c>
      <c r="C62" s="108">
        <f t="shared" ref="C62:C67" si="15">+$D$16</f>
        <v>2554.92</v>
      </c>
      <c r="D62" s="89">
        <f t="shared" si="9"/>
        <v>63</v>
      </c>
      <c r="E62" s="55">
        <f t="shared" si="12"/>
        <v>160959.96</v>
      </c>
      <c r="F62" s="56">
        <f t="shared" si="10"/>
        <v>0.10526315789473682</v>
      </c>
      <c r="G62" s="56">
        <f t="shared" si="11"/>
        <v>202.2552</v>
      </c>
      <c r="H62" s="177">
        <f t="shared" si="8"/>
        <v>202.2552</v>
      </c>
      <c r="I62" s="174">
        <v>1</v>
      </c>
      <c r="J62" s="7">
        <f>+ROUND(IF(I61=0,0,IF(I61=1,(H61*($H$5)+J61))),2)</f>
        <v>0</v>
      </c>
      <c r="K62" s="52"/>
      <c r="N62" s="6">
        <f t="shared" si="13"/>
        <v>0</v>
      </c>
    </row>
    <row r="63" spans="1:14" s="6" customFormat="1" ht="15" customHeight="1" x14ac:dyDescent="0.4">
      <c r="A63" s="52"/>
      <c r="B63" s="234">
        <f t="shared" si="14"/>
        <v>17</v>
      </c>
      <c r="C63" s="108">
        <f t="shared" si="15"/>
        <v>2554.92</v>
      </c>
      <c r="D63" s="89">
        <f t="shared" si="9"/>
        <v>59.5</v>
      </c>
      <c r="E63" s="55">
        <f t="shared" si="12"/>
        <v>152017.74</v>
      </c>
      <c r="F63" s="56">
        <f t="shared" si="10"/>
        <v>9.9415204678362554E-2</v>
      </c>
      <c r="G63" s="56">
        <f t="shared" si="11"/>
        <v>191.0188</v>
      </c>
      <c r="H63" s="177">
        <f t="shared" ref="H63:H78" si="16">+G63+H62</f>
        <v>393.274</v>
      </c>
      <c r="I63" s="174">
        <v>1</v>
      </c>
      <c r="J63" s="7">
        <f>+ROUND(IF(I62=0,0,IF(I62=1,(H62*($H$5)+J62))),2)</f>
        <v>707.89</v>
      </c>
      <c r="K63" s="52"/>
      <c r="N63" s="6">
        <f t="shared" si="13"/>
        <v>707.89319999999998</v>
      </c>
    </row>
    <row r="64" spans="1:14" s="6" customFormat="1" ht="15" customHeight="1" x14ac:dyDescent="0.4">
      <c r="A64" s="52"/>
      <c r="B64" s="234">
        <f t="shared" si="14"/>
        <v>16</v>
      </c>
      <c r="C64" s="108">
        <f t="shared" si="15"/>
        <v>2554.92</v>
      </c>
      <c r="D64" s="89">
        <f t="shared" si="9"/>
        <v>56</v>
      </c>
      <c r="E64" s="55">
        <f t="shared" si="12"/>
        <v>143075.52000000002</v>
      </c>
      <c r="F64" s="56">
        <f t="shared" si="10"/>
        <v>9.3567251461988313E-2</v>
      </c>
      <c r="G64" s="56">
        <f t="shared" si="11"/>
        <v>179.7824</v>
      </c>
      <c r="H64" s="177">
        <f>+G64+H63</f>
        <v>573.05639999999994</v>
      </c>
      <c r="I64" s="174">
        <v>1</v>
      </c>
      <c r="J64" s="7">
        <f t="shared" ref="J64:J79" si="17">+ROUND(IF(I63=0,0,IF(I63=1,(H63*($H$5)+J63))),2)</f>
        <v>2084.35</v>
      </c>
      <c r="K64" s="52"/>
      <c r="N64" s="6">
        <f t="shared" si="13"/>
        <v>2084.3490000000002</v>
      </c>
    </row>
    <row r="65" spans="1:14" s="6" customFormat="1" ht="15" customHeight="1" x14ac:dyDescent="0.4">
      <c r="A65" s="52"/>
      <c r="B65" s="234">
        <f t="shared" si="14"/>
        <v>15</v>
      </c>
      <c r="C65" s="108">
        <f t="shared" si="15"/>
        <v>2554.92</v>
      </c>
      <c r="D65" s="89">
        <f t="shared" si="9"/>
        <v>52.5</v>
      </c>
      <c r="E65" s="55">
        <f t="shared" si="12"/>
        <v>134133.30000000002</v>
      </c>
      <c r="F65" s="56">
        <f t="shared" si="10"/>
        <v>8.7719298245614044E-2</v>
      </c>
      <c r="G65" s="56">
        <f t="shared" si="11"/>
        <v>168.54599999999999</v>
      </c>
      <c r="H65" s="177">
        <f t="shared" si="16"/>
        <v>741.60239999999999</v>
      </c>
      <c r="I65" s="174">
        <v>1</v>
      </c>
      <c r="J65" s="7">
        <f t="shared" si="17"/>
        <v>4090.05</v>
      </c>
      <c r="K65" s="52"/>
      <c r="N65" s="6">
        <f t="shared" si="13"/>
        <v>4090.0473999999995</v>
      </c>
    </row>
    <row r="66" spans="1:14" s="6" customFormat="1" ht="15" customHeight="1" x14ac:dyDescent="0.4">
      <c r="A66" s="52"/>
      <c r="B66" s="233">
        <f t="shared" si="14"/>
        <v>14</v>
      </c>
      <c r="C66" s="108">
        <f t="shared" si="15"/>
        <v>2554.92</v>
      </c>
      <c r="D66" s="89">
        <f t="shared" si="9"/>
        <v>49</v>
      </c>
      <c r="E66" s="55">
        <f t="shared" si="12"/>
        <v>125191.08</v>
      </c>
      <c r="F66" s="56">
        <f t="shared" si="10"/>
        <v>8.1871345029239762E-2</v>
      </c>
      <c r="G66" s="56">
        <f t="shared" si="11"/>
        <v>157.30959999999999</v>
      </c>
      <c r="H66" s="177">
        <f t="shared" si="16"/>
        <v>898.91200000000003</v>
      </c>
      <c r="I66" s="174">
        <v>1</v>
      </c>
      <c r="J66" s="7">
        <f t="shared" si="17"/>
        <v>6685.66</v>
      </c>
      <c r="K66" s="52"/>
      <c r="N66" s="6">
        <f t="shared" si="13"/>
        <v>6685.6584000000003</v>
      </c>
    </row>
    <row r="67" spans="1:14" s="6" customFormat="1" ht="15" customHeight="1" x14ac:dyDescent="0.4">
      <c r="A67" s="52"/>
      <c r="B67" s="231">
        <f t="shared" si="14"/>
        <v>13</v>
      </c>
      <c r="C67" s="108">
        <f t="shared" si="15"/>
        <v>2554.92</v>
      </c>
      <c r="D67" s="89">
        <f t="shared" si="9"/>
        <v>45.5</v>
      </c>
      <c r="E67" s="55">
        <f>+C67*D67</f>
        <v>116248.86</v>
      </c>
      <c r="F67" s="56">
        <f t="shared" si="10"/>
        <v>7.6023391812865493E-2</v>
      </c>
      <c r="G67" s="56">
        <f t="shared" si="11"/>
        <v>146.07320000000001</v>
      </c>
      <c r="H67" s="177">
        <f t="shared" si="16"/>
        <v>1044.9852000000001</v>
      </c>
      <c r="I67" s="174">
        <v>1</v>
      </c>
      <c r="J67" s="7">
        <f t="shared" si="17"/>
        <v>9831.85</v>
      </c>
      <c r="K67" s="52"/>
      <c r="N67" s="6">
        <f t="shared" si="13"/>
        <v>9831.851999999999</v>
      </c>
    </row>
    <row r="68" spans="1:14" s="6" customFormat="1" ht="15" customHeight="1" x14ac:dyDescent="0.4">
      <c r="A68" s="52"/>
      <c r="B68" s="233">
        <f t="shared" si="14"/>
        <v>12</v>
      </c>
      <c r="C68" s="108">
        <f t="shared" ref="C68:C73" si="18">+$D$16</f>
        <v>2554.92</v>
      </c>
      <c r="D68" s="89">
        <f t="shared" si="9"/>
        <v>42</v>
      </c>
      <c r="E68" s="55">
        <f t="shared" si="12"/>
        <v>107306.64</v>
      </c>
      <c r="F68" s="56">
        <f t="shared" si="10"/>
        <v>7.0175438596491224E-2</v>
      </c>
      <c r="G68" s="56">
        <f t="shared" si="11"/>
        <v>134.83680000000001</v>
      </c>
      <c r="H68" s="177">
        <f t="shared" si="16"/>
        <v>1179.8220000000001</v>
      </c>
      <c r="I68" s="174">
        <v>1</v>
      </c>
      <c r="J68" s="7">
        <f>+ROUND(IF(I67=0,0,IF(I67=1,(H67*($H$5)+J67))),2)</f>
        <v>13489.3</v>
      </c>
      <c r="K68" s="52"/>
      <c r="N68" s="6">
        <f t="shared" si="13"/>
        <v>13489.298200000001</v>
      </c>
    </row>
    <row r="69" spans="1:14" s="6" customFormat="1" ht="15" customHeight="1" x14ac:dyDescent="0.4">
      <c r="A69" s="52"/>
      <c r="B69" s="233">
        <f t="shared" si="14"/>
        <v>11</v>
      </c>
      <c r="C69" s="108">
        <f t="shared" si="18"/>
        <v>2554.92</v>
      </c>
      <c r="D69" s="89">
        <f t="shared" si="9"/>
        <v>38.5</v>
      </c>
      <c r="E69" s="55">
        <f t="shared" si="12"/>
        <v>98364.42</v>
      </c>
      <c r="F69" s="56">
        <f t="shared" si="10"/>
        <v>6.4327485380116955E-2</v>
      </c>
      <c r="G69" s="56">
        <f t="shared" si="11"/>
        <v>123.60039999999999</v>
      </c>
      <c r="H69" s="177">
        <f t="shared" si="16"/>
        <v>1303.4224000000002</v>
      </c>
      <c r="I69" s="175">
        <v>1</v>
      </c>
      <c r="J69" s="7">
        <f t="shared" si="17"/>
        <v>17618.68</v>
      </c>
      <c r="K69" s="52"/>
      <c r="N69" s="6">
        <f t="shared" si="13"/>
        <v>17618.677</v>
      </c>
    </row>
    <row r="70" spans="1:14" s="6" customFormat="1" ht="15" customHeight="1" x14ac:dyDescent="0.4">
      <c r="A70" s="52"/>
      <c r="B70" s="231">
        <f>+B71+1</f>
        <v>10</v>
      </c>
      <c r="C70" s="108">
        <f t="shared" si="18"/>
        <v>2554.92</v>
      </c>
      <c r="D70" s="89">
        <f>+$H$5*B70</f>
        <v>35</v>
      </c>
      <c r="E70" s="55">
        <f t="shared" si="12"/>
        <v>89422.2</v>
      </c>
      <c r="F70" s="56">
        <f t="shared" si="10"/>
        <v>5.8479532163742687E-2</v>
      </c>
      <c r="G70" s="56">
        <f t="shared" si="11"/>
        <v>112.364</v>
      </c>
      <c r="H70" s="177">
        <f t="shared" si="16"/>
        <v>1415.7864000000002</v>
      </c>
      <c r="I70" s="175">
        <v>1</v>
      </c>
      <c r="J70" s="7">
        <f t="shared" si="17"/>
        <v>22180.66</v>
      </c>
      <c r="K70" s="52"/>
      <c r="N70" s="6">
        <f t="shared" si="13"/>
        <v>22180.6584</v>
      </c>
    </row>
    <row r="71" spans="1:14" s="6" customFormat="1" ht="15" customHeight="1" x14ac:dyDescent="0.4">
      <c r="A71" s="52"/>
      <c r="B71" s="233">
        <v>9</v>
      </c>
      <c r="C71" s="108">
        <f t="shared" si="18"/>
        <v>2554.92</v>
      </c>
      <c r="D71" s="89">
        <f>+$H$5*B71</f>
        <v>31.5</v>
      </c>
      <c r="E71" s="55">
        <f>+C71*D71</f>
        <v>80479.98</v>
      </c>
      <c r="F71" s="56">
        <f t="shared" ref="F71:F79" si="19">+E71/$E$80</f>
        <v>5.2631578947368411E-2</v>
      </c>
      <c r="G71" s="56">
        <f t="shared" si="11"/>
        <v>101.1276</v>
      </c>
      <c r="H71" s="177">
        <f t="shared" si="16"/>
        <v>1516.9140000000002</v>
      </c>
      <c r="I71" s="175">
        <v>1</v>
      </c>
      <c r="J71" s="7">
        <f t="shared" si="17"/>
        <v>27135.91</v>
      </c>
      <c r="K71" s="52"/>
      <c r="N71" s="6">
        <f t="shared" si="13"/>
        <v>27135.912400000001</v>
      </c>
    </row>
    <row r="72" spans="1:14" s="6" customFormat="1" ht="15" customHeight="1" x14ac:dyDescent="0.4">
      <c r="A72" s="52"/>
      <c r="B72" s="231">
        <v>8</v>
      </c>
      <c r="C72" s="108">
        <f t="shared" si="18"/>
        <v>2554.92</v>
      </c>
      <c r="D72" s="90">
        <f t="shared" ref="D72:D78" si="20">+$H$5*B72</f>
        <v>28</v>
      </c>
      <c r="E72" s="57">
        <f t="shared" ref="E72:E79" si="21">+C72*D72</f>
        <v>71537.760000000009</v>
      </c>
      <c r="F72" s="58">
        <f t="shared" si="19"/>
        <v>4.6783625730994156E-2</v>
      </c>
      <c r="G72" s="179">
        <f t="shared" si="11"/>
        <v>89.891199999999998</v>
      </c>
      <c r="H72" s="177">
        <f>+G72+H71</f>
        <v>1606.8052000000002</v>
      </c>
      <c r="I72" s="175">
        <v>1</v>
      </c>
      <c r="J72" s="7">
        <f t="shared" si="17"/>
        <v>32445.11</v>
      </c>
      <c r="K72" s="52"/>
      <c r="M72" s="6">
        <f>+H71*(D79)</f>
        <v>5309.1990000000005</v>
      </c>
      <c r="N72" s="6">
        <f t="shared" si="13"/>
        <v>32445.109</v>
      </c>
    </row>
    <row r="73" spans="1:14" s="6" customFormat="1" ht="15" customHeight="1" x14ac:dyDescent="0.4">
      <c r="A73" s="52"/>
      <c r="B73" s="233">
        <v>7</v>
      </c>
      <c r="C73" s="108">
        <f t="shared" si="18"/>
        <v>2554.92</v>
      </c>
      <c r="D73" s="89">
        <f t="shared" si="20"/>
        <v>24.5</v>
      </c>
      <c r="E73" s="55">
        <f t="shared" si="21"/>
        <v>62595.54</v>
      </c>
      <c r="F73" s="59">
        <f t="shared" si="19"/>
        <v>4.0935672514619881E-2</v>
      </c>
      <c r="G73" s="56">
        <f t="shared" si="11"/>
        <v>78.654799999999994</v>
      </c>
      <c r="H73" s="177">
        <f t="shared" si="16"/>
        <v>1685.4600000000003</v>
      </c>
      <c r="I73" s="175">
        <v>1</v>
      </c>
      <c r="J73" s="7">
        <f t="shared" si="17"/>
        <v>38068.93</v>
      </c>
      <c r="K73" s="52"/>
      <c r="M73" s="6">
        <f t="shared" ref="M73:M80" si="22">+H72*$D$79+J72</f>
        <v>38068.928200000002</v>
      </c>
      <c r="N73" s="6">
        <f t="shared" si="13"/>
        <v>38068.928200000002</v>
      </c>
    </row>
    <row r="74" spans="1:14" s="6" customFormat="1" ht="15" customHeight="1" x14ac:dyDescent="0.4">
      <c r="A74" s="52"/>
      <c r="B74" s="231">
        <v>6</v>
      </c>
      <c r="C74" s="108">
        <f t="shared" ref="C74:C78" si="23">+$D$16</f>
        <v>2554.92</v>
      </c>
      <c r="D74" s="90">
        <f t="shared" si="20"/>
        <v>21</v>
      </c>
      <c r="E74" s="57">
        <f t="shared" si="21"/>
        <v>53653.32</v>
      </c>
      <c r="F74" s="58">
        <f t="shared" si="19"/>
        <v>3.5087719298245612E-2</v>
      </c>
      <c r="G74" s="179">
        <f t="shared" si="11"/>
        <v>67.418400000000005</v>
      </c>
      <c r="H74" s="177">
        <f t="shared" si="16"/>
        <v>1752.8784000000003</v>
      </c>
      <c r="I74" s="175">
        <v>1</v>
      </c>
      <c r="J74" s="7">
        <f t="shared" si="17"/>
        <v>43968.04</v>
      </c>
      <c r="K74" s="52"/>
      <c r="M74" s="6">
        <f t="shared" si="22"/>
        <v>43968.04</v>
      </c>
      <c r="N74" s="6">
        <f t="shared" si="13"/>
        <v>43968.04</v>
      </c>
    </row>
    <row r="75" spans="1:14" s="6" customFormat="1" ht="15" customHeight="1" x14ac:dyDescent="0.4">
      <c r="A75" s="52"/>
      <c r="B75" s="233">
        <v>5</v>
      </c>
      <c r="C75" s="108">
        <f t="shared" si="23"/>
        <v>2554.92</v>
      </c>
      <c r="D75" s="89">
        <f t="shared" si="20"/>
        <v>17.5</v>
      </c>
      <c r="E75" s="55">
        <f>+C75*D75</f>
        <v>44711.1</v>
      </c>
      <c r="F75" s="59">
        <f t="shared" si="19"/>
        <v>2.9239766081871343E-2</v>
      </c>
      <c r="G75" s="56">
        <f t="shared" si="11"/>
        <v>56.182000000000002</v>
      </c>
      <c r="H75" s="177">
        <f t="shared" si="16"/>
        <v>1809.0604000000003</v>
      </c>
      <c r="I75" s="175">
        <v>1</v>
      </c>
      <c r="J75" s="7">
        <f t="shared" si="17"/>
        <v>50103.11</v>
      </c>
      <c r="K75" s="52"/>
      <c r="M75" s="6">
        <f t="shared" si="22"/>
        <v>50103.114400000006</v>
      </c>
      <c r="N75" s="6">
        <f t="shared" si="13"/>
        <v>50103.114400000006</v>
      </c>
    </row>
    <row r="76" spans="1:14" s="6" customFormat="1" ht="15" customHeight="1" x14ac:dyDescent="0.4">
      <c r="A76" s="52"/>
      <c r="B76" s="231">
        <v>4</v>
      </c>
      <c r="C76" s="108">
        <f t="shared" si="23"/>
        <v>2554.92</v>
      </c>
      <c r="D76" s="90">
        <f t="shared" si="20"/>
        <v>14</v>
      </c>
      <c r="E76" s="57">
        <f t="shared" si="21"/>
        <v>35768.880000000005</v>
      </c>
      <c r="F76" s="58">
        <f t="shared" si="19"/>
        <v>2.3391812865497078E-2</v>
      </c>
      <c r="G76" s="179">
        <f t="shared" si="11"/>
        <v>44.945599999999999</v>
      </c>
      <c r="H76" s="177">
        <f t="shared" si="16"/>
        <v>1854.0060000000003</v>
      </c>
      <c r="I76" s="175">
        <v>1</v>
      </c>
      <c r="J76" s="7">
        <f t="shared" si="17"/>
        <v>56434.82</v>
      </c>
      <c r="K76" s="52"/>
      <c r="M76" s="6">
        <f t="shared" si="22"/>
        <v>56434.821400000001</v>
      </c>
      <c r="N76" s="6">
        <f t="shared" si="13"/>
        <v>56434.821400000001</v>
      </c>
    </row>
    <row r="77" spans="1:14" s="6" customFormat="1" ht="15" customHeight="1" x14ac:dyDescent="0.4">
      <c r="A77" s="52"/>
      <c r="B77" s="233">
        <v>3</v>
      </c>
      <c r="C77" s="108">
        <f t="shared" si="23"/>
        <v>2554.92</v>
      </c>
      <c r="D77" s="89">
        <f t="shared" si="20"/>
        <v>10.5</v>
      </c>
      <c r="E77" s="55">
        <f>+C77*D77</f>
        <v>26826.66</v>
      </c>
      <c r="F77" s="59">
        <f t="shared" si="19"/>
        <v>1.7543859649122806E-2</v>
      </c>
      <c r="G77" s="56">
        <f t="shared" si="11"/>
        <v>33.709200000000003</v>
      </c>
      <c r="H77" s="177">
        <f t="shared" si="16"/>
        <v>1887.7152000000003</v>
      </c>
      <c r="I77" s="175">
        <v>1</v>
      </c>
      <c r="J77" s="7">
        <f t="shared" si="17"/>
        <v>62923.839999999997</v>
      </c>
      <c r="K77" s="52"/>
      <c r="M77" s="6">
        <f t="shared" si="22"/>
        <v>62923.841</v>
      </c>
      <c r="N77" s="6">
        <f t="shared" si="13"/>
        <v>62923.841</v>
      </c>
    </row>
    <row r="78" spans="1:14" s="6" customFormat="1" ht="15" customHeight="1" x14ac:dyDescent="0.4">
      <c r="A78" s="52"/>
      <c r="B78" s="231">
        <v>2</v>
      </c>
      <c r="C78" s="108">
        <f t="shared" si="23"/>
        <v>2554.92</v>
      </c>
      <c r="D78" s="90">
        <f t="shared" si="20"/>
        <v>7</v>
      </c>
      <c r="E78" s="57">
        <f t="shared" si="21"/>
        <v>17884.440000000002</v>
      </c>
      <c r="F78" s="58">
        <f t="shared" si="19"/>
        <v>1.1695906432748539E-2</v>
      </c>
      <c r="G78" s="179">
        <f t="shared" si="11"/>
        <v>22.472799999999999</v>
      </c>
      <c r="H78" s="177">
        <f t="shared" si="16"/>
        <v>1910.1880000000003</v>
      </c>
      <c r="I78" s="175">
        <v>1</v>
      </c>
      <c r="J78" s="7">
        <f t="shared" si="17"/>
        <v>69530.84</v>
      </c>
      <c r="K78" s="52"/>
      <c r="M78" s="6">
        <f t="shared" si="22"/>
        <v>69530.843200000003</v>
      </c>
      <c r="N78" s="6">
        <f t="shared" si="13"/>
        <v>69530.843200000003</v>
      </c>
    </row>
    <row r="79" spans="1:14" s="6" customFormat="1" ht="15" customHeight="1" x14ac:dyDescent="0.4">
      <c r="A79" s="52"/>
      <c r="B79" s="233">
        <v>1</v>
      </c>
      <c r="C79" s="108">
        <f>+D16</f>
        <v>2554.92</v>
      </c>
      <c r="D79" s="89">
        <f>+$H$5*B79</f>
        <v>3.5</v>
      </c>
      <c r="E79" s="55">
        <f t="shared" si="21"/>
        <v>8942.2200000000012</v>
      </c>
      <c r="F79" s="59">
        <f t="shared" si="19"/>
        <v>5.8479532163742695E-3</v>
      </c>
      <c r="G79" s="56">
        <f t="shared" si="11"/>
        <v>11.2364</v>
      </c>
      <c r="H79" s="177">
        <f>+G79+H78</f>
        <v>1921.4244000000003</v>
      </c>
      <c r="I79" s="174">
        <v>1</v>
      </c>
      <c r="J79" s="7">
        <f t="shared" si="17"/>
        <v>76216.5</v>
      </c>
      <c r="K79" s="52"/>
      <c r="M79" s="6">
        <f t="shared" si="22"/>
        <v>76216.497999999992</v>
      </c>
      <c r="N79" s="6">
        <f t="shared" si="13"/>
        <v>76216.497999999992</v>
      </c>
    </row>
    <row r="80" spans="1:14" s="6" customFormat="1" ht="15" customHeight="1" x14ac:dyDescent="0.4">
      <c r="A80" s="52"/>
      <c r="B80" s="60" t="s">
        <v>83</v>
      </c>
      <c r="C80" s="99">
        <f>SUM(C40:C79)</f>
        <v>45988.559999999983</v>
      </c>
      <c r="D80" s="60"/>
      <c r="E80" s="61">
        <f>SUM(E40:E79)</f>
        <v>1529119.62</v>
      </c>
      <c r="F80" s="137">
        <f>SUM(F40:F79)</f>
        <v>1</v>
      </c>
      <c r="G80" s="178">
        <f>ROUND(SUM(G40:G79),4)</f>
        <v>1921.4244000000001</v>
      </c>
      <c r="H80" s="245"/>
      <c r="I80" s="176">
        <v>1</v>
      </c>
      <c r="J80" s="139">
        <f>+ROUND(IF(I79=0,0,IF(I79=1,(H79*($H$5)+J79))),2)</f>
        <v>82941.490000000005</v>
      </c>
      <c r="K80" s="52"/>
      <c r="M80" s="6">
        <f t="shared" si="22"/>
        <v>82941.485400000005</v>
      </c>
      <c r="N80" s="6">
        <f t="shared" si="13"/>
        <v>82941.485400000005</v>
      </c>
    </row>
    <row r="81" spans="1:13" s="6" customFormat="1" ht="22.5" customHeight="1" x14ac:dyDescent="0.55000000000000004">
      <c r="A81" s="52"/>
      <c r="B81" s="9"/>
      <c r="C81" s="62" t="str">
        <f>+IF(C80=H16,"KO","NO")&amp;"เท่ากับน้ำหนักอาคารทั้งหมด"</f>
        <v>KOเท่ากับน้ำหนักอาคารทั้งหมด</v>
      </c>
      <c r="D81" s="9"/>
      <c r="E81" s="9"/>
      <c r="F81" s="9"/>
      <c r="G81" s="63" t="str">
        <f>+IF(G80-H33&lt;2,"OK","NO")&amp;"=V"</f>
        <v>OK=V</v>
      </c>
      <c r="H81" s="63" t="s">
        <v>113</v>
      </c>
      <c r="I81" s="62">
        <f>ROUND(G37/J80,2)</f>
        <v>11.09</v>
      </c>
      <c r="J81" s="62" t="str">
        <f>+IF(I81&lt;1.5,"NO","OK")&amp;"&gt;1.5"</f>
        <v>OK&gt;1.5</v>
      </c>
      <c r="K81" s="52"/>
    </row>
    <row r="82" spans="1:13" s="6" customFormat="1" ht="15" customHeight="1" x14ac:dyDescent="0.4">
      <c r="A82" s="375" t="s">
        <v>115</v>
      </c>
      <c r="B82" s="375"/>
      <c r="C82" s="375"/>
      <c r="D82" s="375"/>
      <c r="E82" s="375"/>
      <c r="F82" s="375"/>
      <c r="G82" s="375"/>
      <c r="H82" s="375"/>
      <c r="I82" s="375"/>
      <c r="J82" s="375"/>
      <c r="K82" s="375"/>
    </row>
    <row r="83" spans="1:13" ht="24" thickBot="1" x14ac:dyDescent="0.55000000000000004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M83" t="s">
        <v>114</v>
      </c>
    </row>
    <row r="84" spans="1:13" x14ac:dyDescent="0.5">
      <c r="A84" s="479" t="s">
        <v>136</v>
      </c>
      <c r="B84" s="491" t="s">
        <v>93</v>
      </c>
      <c r="C84" s="398"/>
      <c r="D84" s="398"/>
      <c r="E84" s="398"/>
      <c r="F84" s="398"/>
      <c r="G84" s="398"/>
      <c r="H84" s="398"/>
      <c r="I84" s="398"/>
      <c r="J84" s="398"/>
      <c r="K84" s="399"/>
    </row>
    <row r="85" spans="1:13" x14ac:dyDescent="0.5">
      <c r="A85" s="480"/>
      <c r="B85" s="97" t="s">
        <v>94</v>
      </c>
      <c r="C85" s="64"/>
      <c r="D85" s="64"/>
      <c r="E85" s="65" t="s">
        <v>95</v>
      </c>
      <c r="F85" s="64"/>
      <c r="G85" s="66">
        <f>ROUND(12*H7/((H5*100)^3)*(((E10*100)*(E11*100)^3)/12)*G15,1)/1000</f>
        <v>36017.257299999997</v>
      </c>
      <c r="H85" s="64" t="s">
        <v>99</v>
      </c>
      <c r="I85" s="64"/>
      <c r="J85" s="64"/>
      <c r="K85" s="67"/>
    </row>
    <row r="86" spans="1:13" s="2" customFormat="1" ht="24" thickBot="1" x14ac:dyDescent="0.55000000000000004">
      <c r="A86" s="481"/>
      <c r="B86" s="98" t="s">
        <v>103</v>
      </c>
      <c r="C86" s="11"/>
      <c r="D86" s="11"/>
      <c r="E86" s="68">
        <f>0.005*(H5*100)</f>
        <v>1.75</v>
      </c>
      <c r="F86" s="11" t="s">
        <v>104</v>
      </c>
      <c r="G86" s="69"/>
      <c r="H86" s="11"/>
      <c r="I86" s="11"/>
      <c r="J86" s="11"/>
      <c r="K86" s="50"/>
    </row>
    <row r="87" spans="1:13" ht="21.95" customHeight="1" thickBot="1" x14ac:dyDescent="0.55000000000000004">
      <c r="A87" s="482" t="s">
        <v>110</v>
      </c>
      <c r="B87" s="485" t="s">
        <v>124</v>
      </c>
      <c r="C87" s="486"/>
      <c r="D87" s="486"/>
      <c r="E87" s="486"/>
      <c r="F87" s="486"/>
      <c r="G87" s="486"/>
      <c r="H87" s="486"/>
      <c r="I87" s="486"/>
      <c r="J87" s="486"/>
      <c r="K87" s="487"/>
    </row>
    <row r="88" spans="1:13" ht="21.95" customHeight="1" x14ac:dyDescent="0.5">
      <c r="A88" s="483"/>
      <c r="B88" s="120" t="s">
        <v>106</v>
      </c>
      <c r="C88" s="113"/>
      <c r="D88" s="113"/>
      <c r="E88" s="113"/>
      <c r="F88" s="113"/>
      <c r="G88" s="113"/>
      <c r="H88" s="113"/>
      <c r="I88" s="113"/>
      <c r="J88" s="113"/>
      <c r="K88" s="12"/>
    </row>
    <row r="89" spans="1:13" ht="21.95" customHeight="1" x14ac:dyDescent="0.5">
      <c r="A89" s="483"/>
      <c r="B89" s="121" t="s">
        <v>107</v>
      </c>
      <c r="C89" s="11"/>
      <c r="D89" s="11"/>
      <c r="E89" s="11"/>
      <c r="F89" s="11"/>
      <c r="G89" s="11"/>
      <c r="H89" s="11"/>
      <c r="I89" s="11"/>
      <c r="J89" s="11"/>
      <c r="K89" s="10"/>
    </row>
    <row r="90" spans="1:13" ht="21.95" customHeight="1" x14ac:dyDescent="0.5">
      <c r="A90" s="483"/>
      <c r="B90" s="121" t="s">
        <v>111</v>
      </c>
      <c r="C90" s="122"/>
      <c r="D90" s="11"/>
      <c r="E90" s="11"/>
      <c r="F90" s="11"/>
      <c r="G90" s="11"/>
      <c r="H90" s="11"/>
      <c r="I90" s="11"/>
      <c r="J90" s="11"/>
      <c r="K90" s="10"/>
    </row>
    <row r="91" spans="1:13" ht="21.95" customHeight="1" x14ac:dyDescent="0.5">
      <c r="A91" s="483"/>
      <c r="B91" s="121" t="s">
        <v>108</v>
      </c>
      <c r="C91" s="11"/>
      <c r="D91" s="11"/>
      <c r="E91" s="11"/>
      <c r="F91" s="11"/>
      <c r="G91" s="11"/>
      <c r="H91" s="11"/>
      <c r="I91" s="11"/>
      <c r="J91" s="11"/>
      <c r="K91" s="10"/>
    </row>
    <row r="92" spans="1:13" s="2" customFormat="1" ht="21.95" customHeight="1" thickBot="1" x14ac:dyDescent="0.55000000000000004">
      <c r="A92" s="483"/>
      <c r="B92" s="123"/>
      <c r="C92" s="118"/>
      <c r="D92" s="118"/>
      <c r="E92" s="118"/>
      <c r="F92" s="118"/>
      <c r="G92" s="118"/>
      <c r="H92" s="118"/>
      <c r="I92" s="118"/>
      <c r="J92" s="118"/>
      <c r="K92" s="119"/>
    </row>
    <row r="93" spans="1:13" ht="24.95" customHeight="1" x14ac:dyDescent="0.5">
      <c r="A93" s="109"/>
      <c r="B93" s="132" t="s">
        <v>22</v>
      </c>
      <c r="C93" s="110" t="s">
        <v>102</v>
      </c>
      <c r="D93" s="110" t="s">
        <v>100</v>
      </c>
      <c r="E93" s="111" t="s">
        <v>105</v>
      </c>
      <c r="F93" s="112" t="s">
        <v>101</v>
      </c>
      <c r="G93" s="110" t="s">
        <v>79</v>
      </c>
      <c r="H93" s="132" t="s">
        <v>109</v>
      </c>
      <c r="I93" s="131" t="s">
        <v>110</v>
      </c>
      <c r="J93" s="113"/>
      <c r="K93" s="12"/>
    </row>
    <row r="94" spans="1:13" s="2" customFormat="1" ht="24.95" customHeight="1" x14ac:dyDescent="0.5">
      <c r="A94" s="114"/>
      <c r="B94" s="227">
        <f t="shared" ref="B94:B132" si="24">+B40</f>
        <v>0</v>
      </c>
      <c r="C94" s="226">
        <f t="shared" ref="C94:C133" si="25">+H40</f>
        <v>0</v>
      </c>
      <c r="D94" s="70">
        <f>ROUND(C94/$G$85,3)</f>
        <v>0</v>
      </c>
      <c r="E94" s="71" t="str">
        <f>+IF(D94&lt;$E$86,"OK","NO")</f>
        <v>OK</v>
      </c>
      <c r="F94" s="72">
        <f>IF(D94=0,0,IF(D94&gt;0,D94+F95))</f>
        <v>0</v>
      </c>
      <c r="G94" s="73">
        <f>+C40</f>
        <v>0</v>
      </c>
      <c r="H94" s="133">
        <f>+G94</f>
        <v>0</v>
      </c>
      <c r="I94" s="180">
        <f>ROUND(IF(C94=0,0,IF(C94&gt;0,H94*D94/(C94*($H$5*100)))),3)</f>
        <v>0</v>
      </c>
      <c r="J94" s="47" t="str">
        <f t="shared" ref="J94:J113" si="26">+IF(I94&lt;0.1,"OK","NO")&amp;"&lt;0.1"</f>
        <v>OK&lt;0.1</v>
      </c>
      <c r="K94" s="10"/>
    </row>
    <row r="95" spans="1:13" s="2" customFormat="1" ht="24.95" customHeight="1" x14ac:dyDescent="0.5">
      <c r="A95" s="114"/>
      <c r="B95" s="228">
        <f t="shared" si="24"/>
        <v>0</v>
      </c>
      <c r="C95" s="226">
        <f t="shared" si="25"/>
        <v>0</v>
      </c>
      <c r="D95" s="70">
        <f t="shared" ref="D95:D113" si="27">ROUND(C95/$G$85,3)</f>
        <v>0</v>
      </c>
      <c r="E95" s="71" t="str">
        <f t="shared" ref="E95:E113" si="28">+IF(D95&lt;$E$86,"OK","NO")</f>
        <v>OK</v>
      </c>
      <c r="F95" s="72">
        <f t="shared" ref="F95:F113" si="29">IF(D95=0,0,IF(D95&gt;0,D95+F96))</f>
        <v>0</v>
      </c>
      <c r="G95" s="73">
        <f t="shared" ref="G95:G133" si="30">+C41</f>
        <v>0</v>
      </c>
      <c r="H95" s="76">
        <f t="shared" ref="H95:H99" si="31">+G95+H94</f>
        <v>0</v>
      </c>
      <c r="I95" s="181">
        <f t="shared" ref="I95:I113" si="32">ROUND(IF(C95=0,0,IF(C95&gt;0,H95*D95/(C95*($H$5*100)))),3)</f>
        <v>0</v>
      </c>
      <c r="J95" s="47" t="str">
        <f t="shared" si="26"/>
        <v>OK&lt;0.1</v>
      </c>
      <c r="K95" s="10"/>
    </row>
    <row r="96" spans="1:13" s="2" customFormat="1" ht="24.95" customHeight="1" x14ac:dyDescent="0.5">
      <c r="A96" s="114"/>
      <c r="B96" s="228">
        <f t="shared" si="24"/>
        <v>0</v>
      </c>
      <c r="C96" s="226">
        <f t="shared" si="25"/>
        <v>0</v>
      </c>
      <c r="D96" s="70">
        <f t="shared" si="27"/>
        <v>0</v>
      </c>
      <c r="E96" s="71" t="str">
        <f t="shared" si="28"/>
        <v>OK</v>
      </c>
      <c r="F96" s="72">
        <f t="shared" si="29"/>
        <v>0</v>
      </c>
      <c r="G96" s="73">
        <f>+C42</f>
        <v>0</v>
      </c>
      <c r="H96" s="76">
        <f t="shared" si="31"/>
        <v>0</v>
      </c>
      <c r="I96" s="181">
        <f t="shared" si="32"/>
        <v>0</v>
      </c>
      <c r="J96" s="47" t="str">
        <f t="shared" si="26"/>
        <v>OK&lt;0.1</v>
      </c>
      <c r="K96" s="10"/>
    </row>
    <row r="97" spans="1:11" s="2" customFormat="1" ht="24.95" customHeight="1" x14ac:dyDescent="0.5">
      <c r="A97" s="114"/>
      <c r="B97" s="228">
        <f t="shared" si="24"/>
        <v>0</v>
      </c>
      <c r="C97" s="226">
        <f t="shared" si="25"/>
        <v>0</v>
      </c>
      <c r="D97" s="70">
        <f t="shared" si="27"/>
        <v>0</v>
      </c>
      <c r="E97" s="71" t="str">
        <f t="shared" si="28"/>
        <v>OK</v>
      </c>
      <c r="F97" s="72">
        <f t="shared" si="29"/>
        <v>0</v>
      </c>
      <c r="G97" s="73">
        <f t="shared" si="30"/>
        <v>0</v>
      </c>
      <c r="H97" s="76">
        <f t="shared" si="31"/>
        <v>0</v>
      </c>
      <c r="I97" s="181">
        <f t="shared" si="32"/>
        <v>0</v>
      </c>
      <c r="J97" s="47" t="str">
        <f t="shared" si="26"/>
        <v>OK&lt;0.1</v>
      </c>
      <c r="K97" s="10"/>
    </row>
    <row r="98" spans="1:11" s="2" customFormat="1" ht="24.95" customHeight="1" x14ac:dyDescent="0.5">
      <c r="A98" s="114"/>
      <c r="B98" s="228">
        <f t="shared" si="24"/>
        <v>0</v>
      </c>
      <c r="C98" s="226">
        <f t="shared" si="25"/>
        <v>0</v>
      </c>
      <c r="D98" s="70">
        <f t="shared" si="27"/>
        <v>0</v>
      </c>
      <c r="E98" s="71" t="str">
        <f t="shared" si="28"/>
        <v>OK</v>
      </c>
      <c r="F98" s="72">
        <f t="shared" si="29"/>
        <v>0</v>
      </c>
      <c r="G98" s="73">
        <f t="shared" si="30"/>
        <v>0</v>
      </c>
      <c r="H98" s="76">
        <f t="shared" si="31"/>
        <v>0</v>
      </c>
      <c r="I98" s="181">
        <f t="shared" si="32"/>
        <v>0</v>
      </c>
      <c r="J98" s="47" t="str">
        <f t="shared" si="26"/>
        <v>OK&lt;0.1</v>
      </c>
      <c r="K98" s="10"/>
    </row>
    <row r="99" spans="1:11" s="2" customFormat="1" ht="24.95" customHeight="1" x14ac:dyDescent="0.5">
      <c r="A99" s="114"/>
      <c r="B99" s="228">
        <f t="shared" si="24"/>
        <v>0</v>
      </c>
      <c r="C99" s="226">
        <f t="shared" si="25"/>
        <v>0</v>
      </c>
      <c r="D99" s="70">
        <f t="shared" si="27"/>
        <v>0</v>
      </c>
      <c r="E99" s="71" t="str">
        <f t="shared" si="28"/>
        <v>OK</v>
      </c>
      <c r="F99" s="72">
        <f t="shared" si="29"/>
        <v>0</v>
      </c>
      <c r="G99" s="73">
        <f t="shared" si="30"/>
        <v>0</v>
      </c>
      <c r="H99" s="76">
        <f t="shared" si="31"/>
        <v>0</v>
      </c>
      <c r="I99" s="181">
        <f t="shared" si="32"/>
        <v>0</v>
      </c>
      <c r="J99" s="47" t="str">
        <f t="shared" si="26"/>
        <v>OK&lt;0.1</v>
      </c>
      <c r="K99" s="10"/>
    </row>
    <row r="100" spans="1:11" s="2" customFormat="1" ht="24.95" customHeight="1" x14ac:dyDescent="0.5">
      <c r="A100" s="114"/>
      <c r="B100" s="228">
        <f t="shared" si="24"/>
        <v>0</v>
      </c>
      <c r="C100" s="226">
        <f t="shared" si="25"/>
        <v>0</v>
      </c>
      <c r="D100" s="70">
        <f t="shared" si="27"/>
        <v>0</v>
      </c>
      <c r="E100" s="71" t="str">
        <f t="shared" si="28"/>
        <v>OK</v>
      </c>
      <c r="F100" s="72">
        <f t="shared" si="29"/>
        <v>0</v>
      </c>
      <c r="G100" s="73">
        <f t="shared" si="30"/>
        <v>0</v>
      </c>
      <c r="H100" s="76">
        <f t="shared" ref="H100:H105" si="33">+G100+H99</f>
        <v>0</v>
      </c>
      <c r="I100" s="181">
        <f t="shared" si="32"/>
        <v>0</v>
      </c>
      <c r="J100" s="47" t="str">
        <f t="shared" si="26"/>
        <v>OK&lt;0.1</v>
      </c>
      <c r="K100" s="10"/>
    </row>
    <row r="101" spans="1:11" s="2" customFormat="1" ht="24.95" customHeight="1" x14ac:dyDescent="0.5">
      <c r="A101" s="114"/>
      <c r="B101" s="228">
        <f t="shared" si="24"/>
        <v>0</v>
      </c>
      <c r="C101" s="226">
        <f t="shared" si="25"/>
        <v>0</v>
      </c>
      <c r="D101" s="70">
        <f t="shared" si="27"/>
        <v>0</v>
      </c>
      <c r="E101" s="71" t="str">
        <f t="shared" si="28"/>
        <v>OK</v>
      </c>
      <c r="F101" s="72">
        <f t="shared" si="29"/>
        <v>0</v>
      </c>
      <c r="G101" s="73">
        <f t="shared" si="30"/>
        <v>0</v>
      </c>
      <c r="H101" s="76">
        <f t="shared" si="33"/>
        <v>0</v>
      </c>
      <c r="I101" s="181">
        <f t="shared" si="32"/>
        <v>0</v>
      </c>
      <c r="J101" s="47" t="str">
        <f t="shared" si="26"/>
        <v>OK&lt;0.1</v>
      </c>
      <c r="K101" s="10"/>
    </row>
    <row r="102" spans="1:11" s="2" customFormat="1" ht="24.95" customHeight="1" x14ac:dyDescent="0.5">
      <c r="A102" s="114"/>
      <c r="B102" s="228">
        <f t="shared" si="24"/>
        <v>0</v>
      </c>
      <c r="C102" s="226">
        <f t="shared" si="25"/>
        <v>0</v>
      </c>
      <c r="D102" s="70">
        <f t="shared" si="27"/>
        <v>0</v>
      </c>
      <c r="E102" s="71" t="str">
        <f t="shared" si="28"/>
        <v>OK</v>
      </c>
      <c r="F102" s="72">
        <f t="shared" si="29"/>
        <v>0</v>
      </c>
      <c r="G102" s="73">
        <f t="shared" si="30"/>
        <v>0</v>
      </c>
      <c r="H102" s="76">
        <f t="shared" si="33"/>
        <v>0</v>
      </c>
      <c r="I102" s="181">
        <f t="shared" si="32"/>
        <v>0</v>
      </c>
      <c r="J102" s="47" t="str">
        <f t="shared" si="26"/>
        <v>OK&lt;0.1</v>
      </c>
      <c r="K102" s="10"/>
    </row>
    <row r="103" spans="1:11" s="2" customFormat="1" ht="24.95" customHeight="1" x14ac:dyDescent="0.5">
      <c r="A103" s="114"/>
      <c r="B103" s="228">
        <f t="shared" si="24"/>
        <v>0</v>
      </c>
      <c r="C103" s="226">
        <f t="shared" si="25"/>
        <v>0</v>
      </c>
      <c r="D103" s="70">
        <f t="shared" si="27"/>
        <v>0</v>
      </c>
      <c r="E103" s="71" t="str">
        <f t="shared" si="28"/>
        <v>OK</v>
      </c>
      <c r="F103" s="72">
        <f t="shared" si="29"/>
        <v>0</v>
      </c>
      <c r="G103" s="73">
        <f t="shared" si="30"/>
        <v>0</v>
      </c>
      <c r="H103" s="76">
        <f t="shared" si="33"/>
        <v>0</v>
      </c>
      <c r="I103" s="181">
        <f t="shared" si="32"/>
        <v>0</v>
      </c>
      <c r="J103" s="47" t="str">
        <f t="shared" si="26"/>
        <v>OK&lt;0.1</v>
      </c>
      <c r="K103" s="10"/>
    </row>
    <row r="104" spans="1:11" s="2" customFormat="1" ht="24.95" customHeight="1" x14ac:dyDescent="0.5">
      <c r="A104" s="114"/>
      <c r="B104" s="228">
        <f t="shared" si="24"/>
        <v>0</v>
      </c>
      <c r="C104" s="226">
        <f t="shared" si="25"/>
        <v>0</v>
      </c>
      <c r="D104" s="70">
        <f t="shared" si="27"/>
        <v>0</v>
      </c>
      <c r="E104" s="71" t="str">
        <f t="shared" si="28"/>
        <v>OK</v>
      </c>
      <c r="F104" s="72">
        <f t="shared" si="29"/>
        <v>0</v>
      </c>
      <c r="G104" s="73">
        <f t="shared" si="30"/>
        <v>0</v>
      </c>
      <c r="H104" s="76">
        <f t="shared" si="33"/>
        <v>0</v>
      </c>
      <c r="I104" s="181">
        <f t="shared" si="32"/>
        <v>0</v>
      </c>
      <c r="J104" s="47" t="str">
        <f t="shared" si="26"/>
        <v>OK&lt;0.1</v>
      </c>
      <c r="K104" s="10"/>
    </row>
    <row r="105" spans="1:11" s="2" customFormat="1" ht="24.95" customHeight="1" x14ac:dyDescent="0.5">
      <c r="A105" s="114"/>
      <c r="B105" s="228">
        <f t="shared" si="24"/>
        <v>0</v>
      </c>
      <c r="C105" s="226">
        <f t="shared" si="25"/>
        <v>0</v>
      </c>
      <c r="D105" s="70">
        <f t="shared" si="27"/>
        <v>0</v>
      </c>
      <c r="E105" s="71" t="str">
        <f t="shared" si="28"/>
        <v>OK</v>
      </c>
      <c r="F105" s="72">
        <f t="shared" si="29"/>
        <v>0</v>
      </c>
      <c r="G105" s="73">
        <f t="shared" si="30"/>
        <v>0</v>
      </c>
      <c r="H105" s="76">
        <f t="shared" si="33"/>
        <v>0</v>
      </c>
      <c r="I105" s="181">
        <f t="shared" si="32"/>
        <v>0</v>
      </c>
      <c r="J105" s="47" t="str">
        <f t="shared" si="26"/>
        <v>OK&lt;0.1</v>
      </c>
      <c r="K105" s="10"/>
    </row>
    <row r="106" spans="1:11" s="2" customFormat="1" ht="24.95" customHeight="1" x14ac:dyDescent="0.5">
      <c r="A106" s="114"/>
      <c r="B106" s="228">
        <f t="shared" si="24"/>
        <v>0</v>
      </c>
      <c r="C106" s="226">
        <f t="shared" si="25"/>
        <v>0</v>
      </c>
      <c r="D106" s="70">
        <f t="shared" si="27"/>
        <v>0</v>
      </c>
      <c r="E106" s="71" t="str">
        <f t="shared" si="28"/>
        <v>OK</v>
      </c>
      <c r="F106" s="72">
        <f t="shared" si="29"/>
        <v>0</v>
      </c>
      <c r="G106" s="73">
        <f t="shared" si="30"/>
        <v>0</v>
      </c>
      <c r="H106" s="76">
        <f t="shared" ref="H106:H110" si="34">+G106+H105</f>
        <v>0</v>
      </c>
      <c r="I106" s="181">
        <f t="shared" si="32"/>
        <v>0</v>
      </c>
      <c r="J106" s="47" t="str">
        <f t="shared" si="26"/>
        <v>OK&lt;0.1</v>
      </c>
      <c r="K106" s="10"/>
    </row>
    <row r="107" spans="1:11" s="2" customFormat="1" ht="24.95" customHeight="1" x14ac:dyDescent="0.5">
      <c r="A107" s="114"/>
      <c r="B107" s="228">
        <f t="shared" si="24"/>
        <v>0</v>
      </c>
      <c r="C107" s="226">
        <f t="shared" si="25"/>
        <v>0</v>
      </c>
      <c r="D107" s="70">
        <f t="shared" si="27"/>
        <v>0</v>
      </c>
      <c r="E107" s="71" t="str">
        <f t="shared" si="28"/>
        <v>OK</v>
      </c>
      <c r="F107" s="72">
        <f t="shared" si="29"/>
        <v>0</v>
      </c>
      <c r="G107" s="73">
        <f t="shared" si="30"/>
        <v>0</v>
      </c>
      <c r="H107" s="76">
        <f t="shared" si="34"/>
        <v>0</v>
      </c>
      <c r="I107" s="181">
        <f t="shared" si="32"/>
        <v>0</v>
      </c>
      <c r="J107" s="47" t="str">
        <f t="shared" si="26"/>
        <v>OK&lt;0.1</v>
      </c>
      <c r="K107" s="10"/>
    </row>
    <row r="108" spans="1:11" s="2" customFormat="1" ht="24.95" customHeight="1" x14ac:dyDescent="0.5">
      <c r="A108" s="114"/>
      <c r="B108" s="228">
        <f t="shared" si="24"/>
        <v>0</v>
      </c>
      <c r="C108" s="226">
        <f t="shared" si="25"/>
        <v>0</v>
      </c>
      <c r="D108" s="70">
        <f t="shared" si="27"/>
        <v>0</v>
      </c>
      <c r="E108" s="71" t="str">
        <f t="shared" si="28"/>
        <v>OK</v>
      </c>
      <c r="F108" s="72">
        <f t="shared" si="29"/>
        <v>0</v>
      </c>
      <c r="G108" s="73">
        <f t="shared" si="30"/>
        <v>0</v>
      </c>
      <c r="H108" s="76">
        <f t="shared" si="34"/>
        <v>0</v>
      </c>
      <c r="I108" s="181">
        <f t="shared" si="32"/>
        <v>0</v>
      </c>
      <c r="J108" s="47" t="str">
        <f t="shared" si="26"/>
        <v>OK&lt;0.1</v>
      </c>
      <c r="K108" s="10"/>
    </row>
    <row r="109" spans="1:11" s="2" customFormat="1" ht="24.95" customHeight="1" x14ac:dyDescent="0.5">
      <c r="A109" s="114"/>
      <c r="B109" s="228">
        <f t="shared" si="24"/>
        <v>0</v>
      </c>
      <c r="C109" s="226">
        <f t="shared" si="25"/>
        <v>0</v>
      </c>
      <c r="D109" s="70">
        <f t="shared" si="27"/>
        <v>0</v>
      </c>
      <c r="E109" s="71" t="str">
        <f t="shared" si="28"/>
        <v>OK</v>
      </c>
      <c r="F109" s="72">
        <f t="shared" si="29"/>
        <v>0</v>
      </c>
      <c r="G109" s="73">
        <f t="shared" si="30"/>
        <v>0</v>
      </c>
      <c r="H109" s="76">
        <f t="shared" si="34"/>
        <v>0</v>
      </c>
      <c r="I109" s="181">
        <f t="shared" si="32"/>
        <v>0</v>
      </c>
      <c r="J109" s="47" t="str">
        <f t="shared" si="26"/>
        <v>OK&lt;0.1</v>
      </c>
      <c r="K109" s="10"/>
    </row>
    <row r="110" spans="1:11" s="2" customFormat="1" ht="24.95" customHeight="1" x14ac:dyDescent="0.5">
      <c r="A110" s="114"/>
      <c r="B110" s="228">
        <f t="shared" si="24"/>
        <v>0</v>
      </c>
      <c r="C110" s="226">
        <f t="shared" si="25"/>
        <v>0</v>
      </c>
      <c r="D110" s="70">
        <f t="shared" si="27"/>
        <v>0</v>
      </c>
      <c r="E110" s="71" t="str">
        <f t="shared" si="28"/>
        <v>OK</v>
      </c>
      <c r="F110" s="72">
        <f t="shared" si="29"/>
        <v>0</v>
      </c>
      <c r="G110" s="73">
        <f t="shared" si="30"/>
        <v>0</v>
      </c>
      <c r="H110" s="76">
        <f t="shared" si="34"/>
        <v>0</v>
      </c>
      <c r="I110" s="181">
        <f t="shared" si="32"/>
        <v>0</v>
      </c>
      <c r="J110" s="47" t="str">
        <f t="shared" si="26"/>
        <v>OK&lt;0.1</v>
      </c>
      <c r="K110" s="10"/>
    </row>
    <row r="111" spans="1:11" s="2" customFormat="1" ht="24.95" customHeight="1" x14ac:dyDescent="0.5">
      <c r="A111" s="114"/>
      <c r="B111" s="228">
        <f t="shared" si="24"/>
        <v>0</v>
      </c>
      <c r="C111" s="226">
        <f t="shared" si="25"/>
        <v>0</v>
      </c>
      <c r="D111" s="70">
        <f t="shared" si="27"/>
        <v>0</v>
      </c>
      <c r="E111" s="71" t="str">
        <f t="shared" si="28"/>
        <v>OK</v>
      </c>
      <c r="F111" s="72">
        <f t="shared" si="29"/>
        <v>0</v>
      </c>
      <c r="G111" s="73">
        <f t="shared" si="30"/>
        <v>0</v>
      </c>
      <c r="H111" s="76">
        <f>+G111+H110</f>
        <v>0</v>
      </c>
      <c r="I111" s="181">
        <f t="shared" si="32"/>
        <v>0</v>
      </c>
      <c r="J111" s="47" t="str">
        <f t="shared" si="26"/>
        <v>OK&lt;0.1</v>
      </c>
      <c r="K111" s="10"/>
    </row>
    <row r="112" spans="1:11" s="2" customFormat="1" ht="24.95" customHeight="1" x14ac:dyDescent="0.5">
      <c r="A112" s="114"/>
      <c r="B112" s="228">
        <f t="shared" si="24"/>
        <v>0</v>
      </c>
      <c r="C112" s="226">
        <f t="shared" si="25"/>
        <v>0</v>
      </c>
      <c r="D112" s="70">
        <f t="shared" si="27"/>
        <v>0</v>
      </c>
      <c r="E112" s="71" t="str">
        <f t="shared" si="28"/>
        <v>OK</v>
      </c>
      <c r="F112" s="72">
        <f t="shared" si="29"/>
        <v>0</v>
      </c>
      <c r="G112" s="73">
        <f t="shared" si="30"/>
        <v>0</v>
      </c>
      <c r="H112" s="76">
        <f t="shared" ref="H112:H113" si="35">+G112+H111</f>
        <v>0</v>
      </c>
      <c r="I112" s="181">
        <f t="shared" si="32"/>
        <v>0</v>
      </c>
      <c r="J112" s="47" t="str">
        <f t="shared" si="26"/>
        <v>OK&lt;0.1</v>
      </c>
      <c r="K112" s="10"/>
    </row>
    <row r="113" spans="1:11" s="2" customFormat="1" ht="24.95" customHeight="1" x14ac:dyDescent="0.5">
      <c r="A113" s="114"/>
      <c r="B113" s="228">
        <f t="shared" si="24"/>
        <v>0</v>
      </c>
      <c r="C113" s="226">
        <f t="shared" si="25"/>
        <v>0</v>
      </c>
      <c r="D113" s="70">
        <f t="shared" si="27"/>
        <v>0</v>
      </c>
      <c r="E113" s="71" t="str">
        <f t="shared" si="28"/>
        <v>OK</v>
      </c>
      <c r="F113" s="72">
        <f t="shared" si="29"/>
        <v>0</v>
      </c>
      <c r="G113" s="73">
        <f t="shared" si="30"/>
        <v>0</v>
      </c>
      <c r="H113" s="76">
        <f t="shared" si="35"/>
        <v>0</v>
      </c>
      <c r="I113" s="181">
        <f t="shared" si="32"/>
        <v>0</v>
      </c>
      <c r="J113" s="47" t="str">
        <f t="shared" si="26"/>
        <v>OK&lt;0.1</v>
      </c>
      <c r="K113" s="10"/>
    </row>
    <row r="114" spans="1:11" ht="21.95" customHeight="1" x14ac:dyDescent="0.5">
      <c r="A114" s="114"/>
      <c r="B114" s="228">
        <f t="shared" si="24"/>
        <v>0</v>
      </c>
      <c r="C114" s="226">
        <f t="shared" si="25"/>
        <v>0</v>
      </c>
      <c r="D114" s="70">
        <f t="shared" ref="D114:D133" si="36">ROUND(C114/$G$85,3)</f>
        <v>0</v>
      </c>
      <c r="E114" s="71" t="str">
        <f t="shared" ref="E114:E133" si="37">+IF(D114&lt;$E$86,"OK","NO")</f>
        <v>OK</v>
      </c>
      <c r="F114" s="72">
        <f t="shared" ref="F114:F132" si="38">IF(D114=0,0,IF(D114&gt;0,D114+F115))</f>
        <v>0</v>
      </c>
      <c r="G114" s="73">
        <f t="shared" si="30"/>
        <v>0</v>
      </c>
      <c r="H114" s="76">
        <f>+G114+H113</f>
        <v>0</v>
      </c>
      <c r="I114" s="181">
        <f t="shared" ref="I114:I132" si="39">ROUND(IF(C114=0,0,IF(C114&gt;0,H114*D114/(C114*($H$5*100)))),3)</f>
        <v>0</v>
      </c>
      <c r="J114" s="47" t="str">
        <f t="shared" ref="J114:J132" si="40">+IF(I114&lt;0.1,"OK","NO")&amp;"&lt;0.1"</f>
        <v>OK&lt;0.1</v>
      </c>
      <c r="K114" s="115"/>
    </row>
    <row r="115" spans="1:11" ht="21.95" customHeight="1" x14ac:dyDescent="0.5">
      <c r="A115" s="114"/>
      <c r="B115" s="228">
        <f t="shared" si="24"/>
        <v>0</v>
      </c>
      <c r="C115" s="224">
        <f t="shared" si="25"/>
        <v>0</v>
      </c>
      <c r="D115" s="70">
        <f t="shared" si="36"/>
        <v>0</v>
      </c>
      <c r="E115" s="74" t="str">
        <f t="shared" si="37"/>
        <v>OK</v>
      </c>
      <c r="F115" s="75">
        <f t="shared" si="38"/>
        <v>0</v>
      </c>
      <c r="G115" s="76">
        <f t="shared" si="30"/>
        <v>0</v>
      </c>
      <c r="H115" s="76">
        <f>+G115+H114</f>
        <v>0</v>
      </c>
      <c r="I115" s="185">
        <f t="shared" si="39"/>
        <v>0</v>
      </c>
      <c r="J115" s="47" t="str">
        <f t="shared" si="40"/>
        <v>OK&lt;0.1</v>
      </c>
      <c r="K115" s="115"/>
    </row>
    <row r="116" spans="1:11" ht="21.95" customHeight="1" x14ac:dyDescent="0.5">
      <c r="A116" s="114"/>
      <c r="B116" s="228">
        <f t="shared" si="24"/>
        <v>18</v>
      </c>
      <c r="C116" s="225">
        <f t="shared" si="25"/>
        <v>202.2552</v>
      </c>
      <c r="D116" s="77">
        <f t="shared" si="36"/>
        <v>6.0000000000000001E-3</v>
      </c>
      <c r="E116" s="74" t="str">
        <f t="shared" si="37"/>
        <v>OK</v>
      </c>
      <c r="F116" s="75">
        <f t="shared" si="38"/>
        <v>0.65800000000000003</v>
      </c>
      <c r="G116" s="76">
        <f t="shared" si="30"/>
        <v>2554.92</v>
      </c>
      <c r="H116" s="76">
        <f>+G116+H115</f>
        <v>2554.92</v>
      </c>
      <c r="I116" s="182">
        <f t="shared" si="39"/>
        <v>0</v>
      </c>
      <c r="J116" s="47" t="str">
        <f t="shared" si="40"/>
        <v>OK&lt;0.1</v>
      </c>
      <c r="K116" s="115"/>
    </row>
    <row r="117" spans="1:11" ht="21.95" customHeight="1" x14ac:dyDescent="0.5">
      <c r="A117" s="114"/>
      <c r="B117" s="228">
        <f t="shared" si="24"/>
        <v>17</v>
      </c>
      <c r="C117" s="224">
        <f t="shared" si="25"/>
        <v>393.274</v>
      </c>
      <c r="D117" s="78">
        <f t="shared" si="36"/>
        <v>1.0999999999999999E-2</v>
      </c>
      <c r="E117" s="74" t="str">
        <f t="shared" si="37"/>
        <v>OK</v>
      </c>
      <c r="F117" s="75">
        <f t="shared" si="38"/>
        <v>0.65200000000000002</v>
      </c>
      <c r="G117" s="76">
        <f t="shared" si="30"/>
        <v>2554.92</v>
      </c>
      <c r="H117" s="76">
        <f t="shared" ref="H117:H132" si="41">+G117+H116</f>
        <v>5109.84</v>
      </c>
      <c r="I117" s="183">
        <f t="shared" si="39"/>
        <v>0</v>
      </c>
      <c r="J117" s="47" t="str">
        <f t="shared" si="40"/>
        <v>OK&lt;0.1</v>
      </c>
      <c r="K117" s="115"/>
    </row>
    <row r="118" spans="1:11" ht="21.95" customHeight="1" x14ac:dyDescent="0.5">
      <c r="A118" s="114"/>
      <c r="B118" s="228">
        <f t="shared" si="24"/>
        <v>16</v>
      </c>
      <c r="C118" s="224">
        <f t="shared" si="25"/>
        <v>573.05639999999994</v>
      </c>
      <c r="D118" s="78">
        <f t="shared" si="36"/>
        <v>1.6E-2</v>
      </c>
      <c r="E118" s="74" t="str">
        <f t="shared" si="37"/>
        <v>OK</v>
      </c>
      <c r="F118" s="75">
        <f t="shared" si="38"/>
        <v>0.64100000000000001</v>
      </c>
      <c r="G118" s="76">
        <f t="shared" si="30"/>
        <v>2554.92</v>
      </c>
      <c r="H118" s="76">
        <f t="shared" si="41"/>
        <v>7664.76</v>
      </c>
      <c r="I118" s="182">
        <f t="shared" si="39"/>
        <v>1E-3</v>
      </c>
      <c r="J118" s="47" t="str">
        <f t="shared" si="40"/>
        <v>OK&lt;0.1</v>
      </c>
      <c r="K118" s="115"/>
    </row>
    <row r="119" spans="1:11" ht="21.95" customHeight="1" x14ac:dyDescent="0.5">
      <c r="A119" s="114"/>
      <c r="B119" s="228">
        <f t="shared" si="24"/>
        <v>15</v>
      </c>
      <c r="C119" s="225">
        <f t="shared" si="25"/>
        <v>741.60239999999999</v>
      </c>
      <c r="D119" s="78">
        <f t="shared" si="36"/>
        <v>2.1000000000000001E-2</v>
      </c>
      <c r="E119" s="74" t="str">
        <f t="shared" si="37"/>
        <v>OK</v>
      </c>
      <c r="F119" s="75">
        <f t="shared" si="38"/>
        <v>0.625</v>
      </c>
      <c r="G119" s="76">
        <f t="shared" si="30"/>
        <v>2554.92</v>
      </c>
      <c r="H119" s="76">
        <f t="shared" si="41"/>
        <v>10219.68</v>
      </c>
      <c r="I119" s="183">
        <f t="shared" si="39"/>
        <v>1E-3</v>
      </c>
      <c r="J119" s="47" t="str">
        <f t="shared" si="40"/>
        <v>OK&lt;0.1</v>
      </c>
      <c r="K119" s="115"/>
    </row>
    <row r="120" spans="1:11" ht="21.95" customHeight="1" x14ac:dyDescent="0.5">
      <c r="A120" s="114"/>
      <c r="B120" s="228">
        <f t="shared" si="24"/>
        <v>14</v>
      </c>
      <c r="C120" s="224">
        <f t="shared" si="25"/>
        <v>898.91200000000003</v>
      </c>
      <c r="D120" s="78">
        <f t="shared" si="36"/>
        <v>2.5000000000000001E-2</v>
      </c>
      <c r="E120" s="74" t="str">
        <f t="shared" si="37"/>
        <v>OK</v>
      </c>
      <c r="F120" s="75">
        <f t="shared" si="38"/>
        <v>0.60399999999999998</v>
      </c>
      <c r="G120" s="76">
        <f t="shared" si="30"/>
        <v>2554.92</v>
      </c>
      <c r="H120" s="76">
        <f t="shared" si="41"/>
        <v>12774.6</v>
      </c>
      <c r="I120" s="182">
        <f t="shared" si="39"/>
        <v>1E-3</v>
      </c>
      <c r="J120" s="47" t="str">
        <f t="shared" si="40"/>
        <v>OK&lt;0.1</v>
      </c>
      <c r="K120" s="115"/>
    </row>
    <row r="121" spans="1:11" ht="21.95" customHeight="1" x14ac:dyDescent="0.5">
      <c r="A121" s="114"/>
      <c r="B121" s="228">
        <f t="shared" si="24"/>
        <v>13</v>
      </c>
      <c r="C121" s="225">
        <f t="shared" si="25"/>
        <v>1044.9852000000001</v>
      </c>
      <c r="D121" s="78">
        <f t="shared" si="36"/>
        <v>2.9000000000000001E-2</v>
      </c>
      <c r="E121" s="74" t="str">
        <f t="shared" si="37"/>
        <v>OK</v>
      </c>
      <c r="F121" s="75">
        <f t="shared" si="38"/>
        <v>0.57899999999999996</v>
      </c>
      <c r="G121" s="76">
        <f t="shared" si="30"/>
        <v>2554.92</v>
      </c>
      <c r="H121" s="76">
        <f t="shared" si="41"/>
        <v>15329.52</v>
      </c>
      <c r="I121" s="183">
        <f t="shared" si="39"/>
        <v>1E-3</v>
      </c>
      <c r="J121" s="47" t="str">
        <f t="shared" si="40"/>
        <v>OK&lt;0.1</v>
      </c>
      <c r="K121" s="115"/>
    </row>
    <row r="122" spans="1:11" ht="21.95" customHeight="1" x14ac:dyDescent="0.5">
      <c r="A122" s="114"/>
      <c r="B122" s="228">
        <f t="shared" si="24"/>
        <v>12</v>
      </c>
      <c r="C122" s="224">
        <f t="shared" si="25"/>
        <v>1179.8220000000001</v>
      </c>
      <c r="D122" s="78">
        <f t="shared" si="36"/>
        <v>3.3000000000000002E-2</v>
      </c>
      <c r="E122" s="74" t="str">
        <f t="shared" si="37"/>
        <v>OK</v>
      </c>
      <c r="F122" s="75">
        <f t="shared" si="38"/>
        <v>0.54999999999999993</v>
      </c>
      <c r="G122" s="76">
        <f t="shared" si="30"/>
        <v>2554.92</v>
      </c>
      <c r="H122" s="76">
        <f t="shared" si="41"/>
        <v>17884.440000000002</v>
      </c>
      <c r="I122" s="182">
        <f t="shared" si="39"/>
        <v>1E-3</v>
      </c>
      <c r="J122" s="47" t="str">
        <f t="shared" si="40"/>
        <v>OK&lt;0.1</v>
      </c>
      <c r="K122" s="115"/>
    </row>
    <row r="123" spans="1:11" ht="21.95" customHeight="1" x14ac:dyDescent="0.5">
      <c r="A123" s="114"/>
      <c r="B123" s="228">
        <f t="shared" si="24"/>
        <v>11</v>
      </c>
      <c r="C123" s="224">
        <f t="shared" si="25"/>
        <v>1303.4224000000002</v>
      </c>
      <c r="D123" s="78">
        <f t="shared" si="36"/>
        <v>3.5999999999999997E-2</v>
      </c>
      <c r="E123" s="79" t="str">
        <f t="shared" si="37"/>
        <v>OK</v>
      </c>
      <c r="F123" s="80">
        <f t="shared" si="38"/>
        <v>0.5169999999999999</v>
      </c>
      <c r="G123" s="76">
        <f t="shared" si="30"/>
        <v>2554.92</v>
      </c>
      <c r="H123" s="76">
        <f>+G123+H122</f>
        <v>20439.36</v>
      </c>
      <c r="I123" s="183">
        <f t="shared" si="39"/>
        <v>2E-3</v>
      </c>
      <c r="J123" s="47" t="str">
        <f t="shared" si="40"/>
        <v>OK&lt;0.1</v>
      </c>
      <c r="K123" s="115"/>
    </row>
    <row r="124" spans="1:11" ht="21.95" customHeight="1" x14ac:dyDescent="0.5">
      <c r="A124" s="114"/>
      <c r="B124" s="228">
        <f t="shared" si="24"/>
        <v>10</v>
      </c>
      <c r="C124" s="225">
        <f t="shared" si="25"/>
        <v>1415.7864000000002</v>
      </c>
      <c r="D124" s="78">
        <f t="shared" si="36"/>
        <v>3.9E-2</v>
      </c>
      <c r="E124" s="74" t="str">
        <f t="shared" si="37"/>
        <v>OK</v>
      </c>
      <c r="F124" s="75">
        <f t="shared" si="38"/>
        <v>0.48099999999999993</v>
      </c>
      <c r="G124" s="76">
        <f t="shared" si="30"/>
        <v>2554.92</v>
      </c>
      <c r="H124" s="76">
        <f t="shared" si="41"/>
        <v>22994.28</v>
      </c>
      <c r="I124" s="182">
        <f t="shared" si="39"/>
        <v>2E-3</v>
      </c>
      <c r="J124" s="47" t="str">
        <f t="shared" si="40"/>
        <v>OK&lt;0.1</v>
      </c>
      <c r="K124" s="115"/>
    </row>
    <row r="125" spans="1:11" ht="21.95" customHeight="1" x14ac:dyDescent="0.5">
      <c r="A125" s="114"/>
      <c r="B125" s="228">
        <f t="shared" si="24"/>
        <v>9</v>
      </c>
      <c r="C125" s="224">
        <f t="shared" si="25"/>
        <v>1516.9140000000002</v>
      </c>
      <c r="D125" s="78">
        <f t="shared" si="36"/>
        <v>4.2000000000000003E-2</v>
      </c>
      <c r="E125" s="74" t="str">
        <f t="shared" si="37"/>
        <v>OK</v>
      </c>
      <c r="F125" s="75">
        <f t="shared" si="38"/>
        <v>0.44199999999999995</v>
      </c>
      <c r="G125" s="76">
        <f t="shared" si="30"/>
        <v>2554.92</v>
      </c>
      <c r="H125" s="76">
        <f t="shared" si="41"/>
        <v>25549.199999999997</v>
      </c>
      <c r="I125" s="183">
        <f t="shared" si="39"/>
        <v>2E-3</v>
      </c>
      <c r="J125" s="47" t="str">
        <f t="shared" si="40"/>
        <v>OK&lt;0.1</v>
      </c>
      <c r="K125" s="115"/>
    </row>
    <row r="126" spans="1:11" ht="21.95" customHeight="1" x14ac:dyDescent="0.5">
      <c r="A126" s="114"/>
      <c r="B126" s="228">
        <f t="shared" si="24"/>
        <v>8</v>
      </c>
      <c r="C126" s="225">
        <f t="shared" si="25"/>
        <v>1606.8052000000002</v>
      </c>
      <c r="D126" s="78">
        <f t="shared" si="36"/>
        <v>4.4999999999999998E-2</v>
      </c>
      <c r="E126" s="79" t="str">
        <f t="shared" si="37"/>
        <v>OK</v>
      </c>
      <c r="F126" s="80">
        <f t="shared" si="38"/>
        <v>0.39999999999999997</v>
      </c>
      <c r="G126" s="76">
        <f t="shared" si="30"/>
        <v>2554.92</v>
      </c>
      <c r="H126" s="76">
        <f t="shared" si="41"/>
        <v>28104.119999999995</v>
      </c>
      <c r="I126" s="182">
        <f t="shared" si="39"/>
        <v>2E-3</v>
      </c>
      <c r="J126" s="47" t="str">
        <f t="shared" si="40"/>
        <v>OK&lt;0.1</v>
      </c>
      <c r="K126" s="115"/>
    </row>
    <row r="127" spans="1:11" ht="21.95" customHeight="1" x14ac:dyDescent="0.5">
      <c r="A127" s="114"/>
      <c r="B127" s="228">
        <f t="shared" si="24"/>
        <v>7</v>
      </c>
      <c r="C127" s="224">
        <f t="shared" si="25"/>
        <v>1685.4600000000003</v>
      </c>
      <c r="D127" s="78">
        <f t="shared" si="36"/>
        <v>4.7E-2</v>
      </c>
      <c r="E127" s="74" t="str">
        <f t="shared" si="37"/>
        <v>OK</v>
      </c>
      <c r="F127" s="75">
        <f t="shared" si="38"/>
        <v>0.35499999999999998</v>
      </c>
      <c r="G127" s="76">
        <f t="shared" si="30"/>
        <v>2554.92</v>
      </c>
      <c r="H127" s="76">
        <f>+G127+H126</f>
        <v>30659.039999999994</v>
      </c>
      <c r="I127" s="183">
        <f t="shared" si="39"/>
        <v>2E-3</v>
      </c>
      <c r="J127" s="47" t="str">
        <f t="shared" si="40"/>
        <v>OK&lt;0.1</v>
      </c>
      <c r="K127" s="115"/>
    </row>
    <row r="128" spans="1:11" ht="21.95" customHeight="1" x14ac:dyDescent="0.5">
      <c r="A128" s="114"/>
      <c r="B128" s="228">
        <f t="shared" si="24"/>
        <v>6</v>
      </c>
      <c r="C128" s="225">
        <f t="shared" si="25"/>
        <v>1752.8784000000003</v>
      </c>
      <c r="D128" s="81">
        <f t="shared" si="36"/>
        <v>4.9000000000000002E-2</v>
      </c>
      <c r="E128" s="79" t="str">
        <f t="shared" si="37"/>
        <v>OK</v>
      </c>
      <c r="F128" s="82">
        <f t="shared" si="38"/>
        <v>0.308</v>
      </c>
      <c r="G128" s="76">
        <f t="shared" si="30"/>
        <v>2554.92</v>
      </c>
      <c r="H128" s="76">
        <f t="shared" si="41"/>
        <v>33213.959999999992</v>
      </c>
      <c r="I128" s="182">
        <f t="shared" si="39"/>
        <v>3.0000000000000001E-3</v>
      </c>
      <c r="J128" s="47" t="str">
        <f t="shared" si="40"/>
        <v>OK&lt;0.1</v>
      </c>
      <c r="K128" s="115"/>
    </row>
    <row r="129" spans="1:18" ht="21.95" customHeight="1" x14ac:dyDescent="0.5">
      <c r="A129" s="114"/>
      <c r="B129" s="228">
        <f t="shared" si="24"/>
        <v>5</v>
      </c>
      <c r="C129" s="224">
        <f t="shared" si="25"/>
        <v>1809.0604000000003</v>
      </c>
      <c r="D129" s="77">
        <f t="shared" si="36"/>
        <v>0.05</v>
      </c>
      <c r="E129" s="74" t="str">
        <f t="shared" si="37"/>
        <v>OK</v>
      </c>
      <c r="F129" s="75">
        <f t="shared" si="38"/>
        <v>0.25900000000000001</v>
      </c>
      <c r="G129" s="76">
        <f t="shared" si="30"/>
        <v>2554.92</v>
      </c>
      <c r="H129" s="76">
        <f t="shared" si="41"/>
        <v>35768.87999999999</v>
      </c>
      <c r="I129" s="183">
        <f t="shared" si="39"/>
        <v>3.0000000000000001E-3</v>
      </c>
      <c r="J129" s="47" t="str">
        <f t="shared" si="40"/>
        <v>OK&lt;0.1</v>
      </c>
      <c r="K129" s="115"/>
    </row>
    <row r="130" spans="1:18" ht="21.95" customHeight="1" x14ac:dyDescent="0.5">
      <c r="A130" s="114"/>
      <c r="B130" s="228">
        <f t="shared" si="24"/>
        <v>4</v>
      </c>
      <c r="C130" s="225">
        <f t="shared" si="25"/>
        <v>1854.0060000000003</v>
      </c>
      <c r="D130" s="81">
        <f t="shared" si="36"/>
        <v>5.0999999999999997E-2</v>
      </c>
      <c r="E130" s="79" t="str">
        <f t="shared" si="37"/>
        <v>OK</v>
      </c>
      <c r="F130" s="80">
        <f t="shared" si="38"/>
        <v>0.20899999999999999</v>
      </c>
      <c r="G130" s="76">
        <f t="shared" si="30"/>
        <v>2554.92</v>
      </c>
      <c r="H130" s="76">
        <f t="shared" si="41"/>
        <v>38323.799999999988</v>
      </c>
      <c r="I130" s="182">
        <f t="shared" si="39"/>
        <v>3.0000000000000001E-3</v>
      </c>
      <c r="J130" s="47" t="str">
        <f t="shared" si="40"/>
        <v>OK&lt;0.1</v>
      </c>
      <c r="K130" s="115"/>
    </row>
    <row r="131" spans="1:18" ht="21.95" customHeight="1" x14ac:dyDescent="0.5">
      <c r="A131" s="114"/>
      <c r="B131" s="228">
        <f t="shared" si="24"/>
        <v>3</v>
      </c>
      <c r="C131" s="224">
        <f t="shared" si="25"/>
        <v>1887.7152000000003</v>
      </c>
      <c r="D131" s="77">
        <f t="shared" si="36"/>
        <v>5.1999999999999998E-2</v>
      </c>
      <c r="E131" s="74" t="str">
        <f t="shared" si="37"/>
        <v>OK</v>
      </c>
      <c r="F131" s="75">
        <f t="shared" si="38"/>
        <v>0.158</v>
      </c>
      <c r="G131" s="76">
        <f t="shared" si="30"/>
        <v>2554.92</v>
      </c>
      <c r="H131" s="76">
        <f t="shared" si="41"/>
        <v>40878.719999999987</v>
      </c>
      <c r="I131" s="183">
        <f t="shared" si="39"/>
        <v>3.0000000000000001E-3</v>
      </c>
      <c r="J131" s="47" t="str">
        <f t="shared" si="40"/>
        <v>OK&lt;0.1</v>
      </c>
      <c r="K131" s="115"/>
    </row>
    <row r="132" spans="1:18" ht="21.95" customHeight="1" x14ac:dyDescent="0.5">
      <c r="A132" s="114"/>
      <c r="B132" s="228">
        <f t="shared" si="24"/>
        <v>2</v>
      </c>
      <c r="C132" s="224">
        <f t="shared" si="25"/>
        <v>1910.1880000000003</v>
      </c>
      <c r="D132" s="78">
        <f>ROUND(C132/$G$85,3)</f>
        <v>5.2999999999999999E-2</v>
      </c>
      <c r="E132" s="79" t="str">
        <f t="shared" si="37"/>
        <v>OK</v>
      </c>
      <c r="F132" s="80">
        <f t="shared" si="38"/>
        <v>0.106</v>
      </c>
      <c r="G132" s="76">
        <f t="shared" si="30"/>
        <v>2554.92</v>
      </c>
      <c r="H132" s="76">
        <f t="shared" si="41"/>
        <v>43433.639999999985</v>
      </c>
      <c r="I132" s="182">
        <f t="shared" si="39"/>
        <v>3.0000000000000001E-3</v>
      </c>
      <c r="J132" s="47" t="str">
        <f t="shared" si="40"/>
        <v>OK&lt;0.1</v>
      </c>
      <c r="K132" s="115"/>
    </row>
    <row r="133" spans="1:18" ht="21.95" customHeight="1" x14ac:dyDescent="0.5">
      <c r="A133" s="114"/>
      <c r="B133" s="229">
        <f>+B79</f>
        <v>1</v>
      </c>
      <c r="C133" s="223">
        <f t="shared" si="25"/>
        <v>1921.4244000000003</v>
      </c>
      <c r="D133" s="83">
        <f t="shared" si="36"/>
        <v>5.2999999999999999E-2</v>
      </c>
      <c r="E133" s="84" t="str">
        <f t="shared" si="37"/>
        <v>OK</v>
      </c>
      <c r="F133" s="85">
        <f>IF(D133=0,0,IF(D133&gt;0,D133))</f>
        <v>5.2999999999999999E-2</v>
      </c>
      <c r="G133" s="86">
        <f t="shared" si="30"/>
        <v>2554.92</v>
      </c>
      <c r="H133" s="86">
        <f>+G133+H132</f>
        <v>45988.559999999983</v>
      </c>
      <c r="I133" s="184">
        <f>ROUND(IF(C133=0,0,IF(C133&gt;0,H133*D133/(C133*($H$5*100)))),3)</f>
        <v>4.0000000000000001E-3</v>
      </c>
      <c r="J133" s="47" t="str">
        <f>+IF(I133&lt;0.1,"OK","NO")&amp;"&lt;0.1"</f>
        <v>OK&lt;0.1</v>
      </c>
      <c r="K133" s="115"/>
    </row>
    <row r="134" spans="1:18" s="2" customFormat="1" ht="21.95" customHeight="1" x14ac:dyDescent="0.5">
      <c r="A134" s="114"/>
      <c r="B134" s="124"/>
      <c r="C134" s="125"/>
      <c r="D134" s="126"/>
      <c r="E134" s="79"/>
      <c r="F134" s="127"/>
      <c r="G134" s="128"/>
      <c r="H134" s="128"/>
      <c r="I134" s="38"/>
      <c r="J134" s="47"/>
      <c r="K134" s="115"/>
    </row>
    <row r="135" spans="1:18" s="2" customFormat="1" ht="21.95" customHeight="1" x14ac:dyDescent="0.5">
      <c r="A135" s="114"/>
      <c r="B135" s="124"/>
      <c r="C135" s="125"/>
      <c r="D135" s="126"/>
      <c r="E135" s="79"/>
      <c r="F135" s="127"/>
      <c r="G135" s="128"/>
      <c r="H135" s="128"/>
      <c r="I135" s="38"/>
      <c r="J135" s="47"/>
      <c r="K135" s="115"/>
    </row>
    <row r="136" spans="1:18" s="2" customFormat="1" ht="21.95" customHeight="1" x14ac:dyDescent="0.5">
      <c r="A136" s="114"/>
      <c r="B136" s="124"/>
      <c r="C136" s="125"/>
      <c r="D136" s="126"/>
      <c r="E136" s="79"/>
      <c r="F136" s="127"/>
      <c r="G136" s="128"/>
      <c r="H136" s="128"/>
      <c r="I136" s="38"/>
      <c r="J136" s="47"/>
      <c r="K136" s="115"/>
    </row>
    <row r="137" spans="1:18" s="2" customFormat="1" ht="21.95" customHeight="1" x14ac:dyDescent="0.5">
      <c r="A137" s="114"/>
      <c r="B137" s="124"/>
      <c r="C137" s="125"/>
      <c r="D137" s="126"/>
      <c r="E137" s="79"/>
      <c r="F137" s="127"/>
      <c r="G137" s="128"/>
      <c r="H137" s="128"/>
      <c r="I137" s="38"/>
      <c r="J137" s="47"/>
      <c r="K137" s="115"/>
      <c r="R137" s="188" t="s">
        <v>158</v>
      </c>
    </row>
    <row r="138" spans="1:18" s="2" customFormat="1" ht="21.95" customHeight="1" x14ac:dyDescent="0.5">
      <c r="A138" s="114"/>
      <c r="B138" s="124"/>
      <c r="C138" s="125"/>
      <c r="D138" s="126"/>
      <c r="E138" s="79"/>
      <c r="F138" s="127"/>
      <c r="G138" s="128"/>
      <c r="H138" s="128"/>
      <c r="I138" s="38"/>
      <c r="J138" s="47"/>
      <c r="K138" s="115"/>
      <c r="R138"/>
    </row>
    <row r="139" spans="1:18" s="2" customFormat="1" ht="21.95" customHeight="1" x14ac:dyDescent="0.5">
      <c r="A139" s="114"/>
      <c r="B139" s="124"/>
      <c r="C139" s="125"/>
      <c r="D139" s="126"/>
      <c r="E139" s="79"/>
      <c r="F139" s="127"/>
      <c r="G139" s="128"/>
      <c r="H139" s="128"/>
      <c r="I139" s="38"/>
      <c r="J139" s="47"/>
      <c r="K139" s="115"/>
      <c r="R139" s="188" t="s">
        <v>159</v>
      </c>
    </row>
    <row r="140" spans="1:18" s="2" customFormat="1" ht="21.95" customHeight="1" x14ac:dyDescent="0.5">
      <c r="A140" s="114"/>
      <c r="B140" s="124"/>
      <c r="C140" s="125"/>
      <c r="D140" s="126"/>
      <c r="E140" s="79"/>
      <c r="F140" s="127"/>
      <c r="G140" s="128"/>
      <c r="H140" s="128"/>
      <c r="I140" s="38"/>
      <c r="J140" s="47"/>
      <c r="K140" s="115"/>
      <c r="R140"/>
    </row>
    <row r="141" spans="1:18" s="2" customFormat="1" ht="21.95" customHeight="1" x14ac:dyDescent="0.5">
      <c r="A141" s="114"/>
      <c r="B141" s="124"/>
      <c r="C141" s="125"/>
      <c r="D141" s="126"/>
      <c r="E141" s="79"/>
      <c r="F141" s="127"/>
      <c r="G141" s="128"/>
      <c r="H141" s="128"/>
      <c r="I141" s="38"/>
      <c r="J141" s="47"/>
      <c r="K141" s="115"/>
      <c r="R141" s="188" t="s">
        <v>160</v>
      </c>
    </row>
    <row r="142" spans="1:18" s="2" customFormat="1" ht="21.95" customHeight="1" x14ac:dyDescent="0.5">
      <c r="A142" s="114"/>
      <c r="B142" s="124"/>
      <c r="C142" s="125"/>
      <c r="D142" s="126"/>
      <c r="E142" s="79"/>
      <c r="F142" s="127"/>
      <c r="G142" s="128"/>
      <c r="H142" s="128"/>
      <c r="I142" s="38"/>
      <c r="J142" s="47"/>
      <c r="K142" s="115"/>
      <c r="R142"/>
    </row>
    <row r="143" spans="1:18" s="2" customFormat="1" ht="21.95" customHeight="1" x14ac:dyDescent="0.5">
      <c r="A143" s="114"/>
      <c r="B143" s="124"/>
      <c r="C143" s="125"/>
      <c r="D143" s="126"/>
      <c r="E143" s="79"/>
      <c r="F143" s="127"/>
      <c r="G143" s="128"/>
      <c r="H143" s="128"/>
      <c r="I143" s="38"/>
      <c r="J143" s="47"/>
      <c r="K143" s="115"/>
      <c r="R143" s="188" t="s">
        <v>161</v>
      </c>
    </row>
    <row r="144" spans="1:18" s="2" customFormat="1" ht="21.95" customHeight="1" x14ac:dyDescent="0.5">
      <c r="A144" s="114"/>
      <c r="B144" s="124"/>
      <c r="C144" s="125"/>
      <c r="D144" s="126"/>
      <c r="E144" s="79"/>
      <c r="F144" s="127"/>
      <c r="G144" s="128"/>
      <c r="H144" s="128"/>
      <c r="I144" s="38"/>
      <c r="J144" s="47"/>
      <c r="K144" s="115"/>
      <c r="R144"/>
    </row>
    <row r="145" spans="1:19" s="2" customFormat="1" ht="21.95" customHeight="1" x14ac:dyDescent="0.5">
      <c r="A145" s="114"/>
      <c r="B145" s="124"/>
      <c r="C145" s="125"/>
      <c r="D145" s="126"/>
      <c r="E145" s="79"/>
      <c r="F145" s="127"/>
      <c r="G145" s="128"/>
      <c r="H145" s="128"/>
      <c r="I145" s="38"/>
      <c r="J145" s="47"/>
      <c r="K145" s="115"/>
      <c r="R145" s="188" t="s">
        <v>162</v>
      </c>
    </row>
    <row r="146" spans="1:19" s="2" customFormat="1" ht="21.95" customHeight="1" x14ac:dyDescent="0.5">
      <c r="A146" s="114"/>
      <c r="B146" s="124"/>
      <c r="C146" s="125"/>
      <c r="D146" s="126"/>
      <c r="E146" s="79"/>
      <c r="F146" s="127"/>
      <c r="G146" s="128"/>
      <c r="H146" s="128"/>
      <c r="I146" s="38"/>
      <c r="J146" s="47"/>
      <c r="K146" s="115"/>
      <c r="R146" s="188" t="s">
        <v>163</v>
      </c>
    </row>
    <row r="147" spans="1:19" s="2" customFormat="1" ht="21.95" customHeight="1" x14ac:dyDescent="0.5">
      <c r="A147" s="114"/>
      <c r="B147" s="124"/>
      <c r="C147" s="125"/>
      <c r="D147" s="126"/>
      <c r="E147" s="79"/>
      <c r="F147" s="127"/>
      <c r="G147" s="128"/>
      <c r="H147" s="128"/>
      <c r="I147" s="38"/>
      <c r="J147" s="47"/>
      <c r="K147" s="115"/>
      <c r="R147" s="188" t="s">
        <v>164</v>
      </c>
    </row>
    <row r="148" spans="1:19" s="2" customFormat="1" ht="21.95" customHeight="1" x14ac:dyDescent="0.5">
      <c r="A148" s="375" t="s">
        <v>115</v>
      </c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R148" s="188" t="s">
        <v>165</v>
      </c>
      <c r="S148" s="188"/>
    </row>
    <row r="149" spans="1:19" s="2" customFormat="1" ht="21.95" customHeight="1" x14ac:dyDescent="0.5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R149" s="188" t="s">
        <v>166</v>
      </c>
      <c r="S149"/>
    </row>
    <row r="150" spans="1:19" s="2" customFormat="1" ht="21.95" customHeight="1" x14ac:dyDescent="0.5">
      <c r="A150" s="114"/>
      <c r="B150" s="124"/>
      <c r="C150" s="125"/>
      <c r="D150" s="126"/>
      <c r="E150" s="79"/>
      <c r="F150" s="127"/>
      <c r="G150" s="128"/>
      <c r="H150" s="128"/>
      <c r="I150" s="38"/>
      <c r="J150" s="47"/>
      <c r="K150" s="115"/>
      <c r="R150" s="188" t="s">
        <v>167</v>
      </c>
      <c r="S150" s="188"/>
    </row>
    <row r="151" spans="1:19" s="2" customFormat="1" ht="21.95" customHeight="1" x14ac:dyDescent="0.5">
      <c r="A151" s="114"/>
      <c r="B151" s="124"/>
      <c r="C151" s="125"/>
      <c r="D151" s="141"/>
      <c r="E151" s="79"/>
      <c r="F151" s="127"/>
      <c r="G151" s="128"/>
      <c r="H151" s="128"/>
      <c r="I151" s="38"/>
      <c r="J151" s="47"/>
      <c r="K151" s="115"/>
      <c r="R151" s="188" t="s">
        <v>168</v>
      </c>
      <c r="S151"/>
    </row>
    <row r="152" spans="1:19" s="2" customFormat="1" ht="21.95" customHeight="1" x14ac:dyDescent="0.5">
      <c r="A152" s="114"/>
      <c r="B152" s="124"/>
      <c r="C152" s="125"/>
      <c r="D152" s="476" t="str">
        <f>+"FT="&amp;F35</f>
        <v>FT=0.897</v>
      </c>
      <c r="E152" s="79"/>
      <c r="F152" s="127"/>
      <c r="G152" s="128"/>
      <c r="H152" s="128"/>
      <c r="I152" s="9"/>
      <c r="J152" s="47"/>
      <c r="K152" s="115"/>
      <c r="R152" s="188" t="s">
        <v>169</v>
      </c>
      <c r="S152" s="188"/>
    </row>
    <row r="153" spans="1:19" s="2" customFormat="1" ht="21.95" customHeight="1" x14ac:dyDescent="0.5">
      <c r="A153" s="114"/>
      <c r="B153" s="124"/>
      <c r="C153" s="125"/>
      <c r="D153" s="477"/>
      <c r="E153" s="79"/>
      <c r="F153" s="127"/>
      <c r="G153" s="128"/>
      <c r="H153" s="128"/>
      <c r="I153" s="9"/>
      <c r="J153" s="47"/>
      <c r="K153" s="115"/>
      <c r="R153" s="188" t="s">
        <v>170</v>
      </c>
      <c r="S153"/>
    </row>
    <row r="154" spans="1:19" s="2" customFormat="1" ht="21.95" customHeight="1" thickBot="1" x14ac:dyDescent="0.55000000000000004">
      <c r="A154" s="114"/>
      <c r="B154" s="124"/>
      <c r="C154" s="125"/>
      <c r="D154" s="144"/>
      <c r="E154" s="11"/>
      <c r="F154" s="11"/>
      <c r="G154" s="128"/>
      <c r="H154" s="128"/>
      <c r="I154" s="38"/>
      <c r="J154" s="47"/>
      <c r="K154" s="115"/>
      <c r="N154" s="188" t="s">
        <v>192</v>
      </c>
      <c r="R154" s="188" t="s">
        <v>171</v>
      </c>
      <c r="S154" s="188"/>
    </row>
    <row r="155" spans="1:19" s="2" customFormat="1" ht="21.95" customHeight="1" x14ac:dyDescent="0.5">
      <c r="A155" s="209">
        <f t="shared" ref="A155:A193" si="42">+D155</f>
        <v>0</v>
      </c>
      <c r="B155" s="173">
        <f t="shared" ref="B155:B194" si="43">+G40</f>
        <v>0</v>
      </c>
      <c r="C155" s="488" t="s">
        <v>198</v>
      </c>
      <c r="D155" s="160">
        <f t="shared" ref="D155:D158" si="44">+B94</f>
        <v>0</v>
      </c>
      <c r="E155" s="161"/>
      <c r="F155" s="167">
        <f t="shared" ref="F155:F193" si="45">+D40</f>
        <v>0</v>
      </c>
      <c r="G155" s="390" t="s">
        <v>309</v>
      </c>
      <c r="H155" s="390"/>
      <c r="I155" s="390"/>
      <c r="J155" s="390"/>
      <c r="K155" s="391"/>
      <c r="N155" s="188" t="s">
        <v>152</v>
      </c>
      <c r="R155" s="188" t="s">
        <v>172</v>
      </c>
      <c r="S155"/>
    </row>
    <row r="156" spans="1:19" s="2" customFormat="1" ht="21.95" customHeight="1" x14ac:dyDescent="0.5">
      <c r="A156" s="209">
        <f t="shared" si="42"/>
        <v>0</v>
      </c>
      <c r="B156" s="173">
        <f t="shared" si="43"/>
        <v>0</v>
      </c>
      <c r="C156" s="488"/>
      <c r="D156" s="162">
        <f t="shared" si="44"/>
        <v>0</v>
      </c>
      <c r="E156" s="159"/>
      <c r="F156" s="168">
        <f t="shared" si="45"/>
        <v>0</v>
      </c>
      <c r="G156" s="153">
        <v>1</v>
      </c>
      <c r="H156" s="151" t="s">
        <v>137</v>
      </c>
      <c r="I156" s="152"/>
      <c r="J156" s="189" t="s">
        <v>141</v>
      </c>
      <c r="K156" s="190"/>
      <c r="N156" s="188" t="s">
        <v>153</v>
      </c>
      <c r="R156"/>
      <c r="S156" s="188"/>
    </row>
    <row r="157" spans="1:19" s="2" customFormat="1" ht="21.95" customHeight="1" x14ac:dyDescent="0.5">
      <c r="A157" s="209">
        <f t="shared" si="42"/>
        <v>0</v>
      </c>
      <c r="B157" s="173">
        <f t="shared" si="43"/>
        <v>0</v>
      </c>
      <c r="C157" s="488"/>
      <c r="D157" s="162">
        <f t="shared" si="44"/>
        <v>0</v>
      </c>
      <c r="E157" s="159"/>
      <c r="F157" s="168">
        <f t="shared" si="45"/>
        <v>0</v>
      </c>
      <c r="G157" s="153">
        <v>2</v>
      </c>
      <c r="H157" s="147" t="s">
        <v>138</v>
      </c>
      <c r="I157" s="148"/>
      <c r="J157" s="191" t="s">
        <v>175</v>
      </c>
      <c r="K157" s="192"/>
      <c r="N157" s="188" t="s">
        <v>154</v>
      </c>
      <c r="R157"/>
      <c r="S157" s="188"/>
    </row>
    <row r="158" spans="1:19" s="2" customFormat="1" ht="21.95" customHeight="1" x14ac:dyDescent="0.5">
      <c r="A158" s="209">
        <f t="shared" si="42"/>
        <v>0</v>
      </c>
      <c r="B158" s="173">
        <f t="shared" si="43"/>
        <v>0</v>
      </c>
      <c r="C158" s="488"/>
      <c r="D158" s="162">
        <f t="shared" si="44"/>
        <v>0</v>
      </c>
      <c r="E158" s="159"/>
      <c r="F158" s="168">
        <f t="shared" si="45"/>
        <v>0</v>
      </c>
      <c r="G158" s="142">
        <v>3</v>
      </c>
      <c r="H158" s="151" t="s">
        <v>139</v>
      </c>
      <c r="I158" s="152"/>
      <c r="J158" s="193"/>
      <c r="K158" s="194"/>
      <c r="N158" s="188" t="s">
        <v>155</v>
      </c>
      <c r="R158" s="188" t="s">
        <v>173</v>
      </c>
      <c r="S158" s="188"/>
    </row>
    <row r="159" spans="1:19" s="2" customFormat="1" ht="21.95" customHeight="1" x14ac:dyDescent="0.5">
      <c r="A159" s="209">
        <f t="shared" si="42"/>
        <v>0</v>
      </c>
      <c r="B159" s="173">
        <f t="shared" si="43"/>
        <v>0</v>
      </c>
      <c r="C159" s="488"/>
      <c r="D159" s="162">
        <f t="shared" ref="D159:D174" si="46">+B98</f>
        <v>0</v>
      </c>
      <c r="E159" s="159"/>
      <c r="F159" s="168">
        <f t="shared" si="45"/>
        <v>0</v>
      </c>
      <c r="G159" s="153">
        <v>4</v>
      </c>
      <c r="H159" s="145" t="s">
        <v>140</v>
      </c>
      <c r="I159" s="146"/>
      <c r="J159" s="195" t="s">
        <v>144</v>
      </c>
      <c r="K159" s="196"/>
      <c r="N159" s="188" t="s">
        <v>156</v>
      </c>
      <c r="R159" s="188" t="s">
        <v>174</v>
      </c>
      <c r="S159" s="188"/>
    </row>
    <row r="160" spans="1:19" s="2" customFormat="1" ht="21.95" customHeight="1" x14ac:dyDescent="0.5">
      <c r="A160" s="209">
        <f t="shared" si="42"/>
        <v>0</v>
      </c>
      <c r="B160" s="173">
        <f t="shared" si="43"/>
        <v>0</v>
      </c>
      <c r="C160" s="488"/>
      <c r="D160" s="162">
        <f t="shared" si="46"/>
        <v>0</v>
      </c>
      <c r="E160" s="159"/>
      <c r="F160" s="168">
        <f t="shared" si="45"/>
        <v>0</v>
      </c>
      <c r="G160" s="142">
        <v>5</v>
      </c>
      <c r="H160" s="151" t="s">
        <v>142</v>
      </c>
      <c r="I160" s="152"/>
      <c r="J160" s="197" t="s">
        <v>189</v>
      </c>
      <c r="K160" s="198"/>
      <c r="N160" s="188" t="s">
        <v>157</v>
      </c>
      <c r="R160" s="188"/>
      <c r="S160" s="188"/>
    </row>
    <row r="161" spans="1:19" s="2" customFormat="1" ht="21.95" customHeight="1" x14ac:dyDescent="0.5">
      <c r="A161" s="209">
        <f t="shared" si="42"/>
        <v>0</v>
      </c>
      <c r="B161" s="173">
        <f t="shared" si="43"/>
        <v>0</v>
      </c>
      <c r="C161" s="488"/>
      <c r="D161" s="162">
        <f t="shared" si="46"/>
        <v>0</v>
      </c>
      <c r="E161" s="159"/>
      <c r="F161" s="168">
        <f t="shared" si="45"/>
        <v>0</v>
      </c>
      <c r="G161" s="153">
        <v>6</v>
      </c>
      <c r="H161" s="149" t="s">
        <v>143</v>
      </c>
      <c r="I161" s="150"/>
      <c r="J161" s="199" t="s">
        <v>3</v>
      </c>
      <c r="K161" s="200"/>
      <c r="R161" s="188"/>
      <c r="S161" s="188"/>
    </row>
    <row r="162" spans="1:19" s="2" customFormat="1" ht="21.95" customHeight="1" x14ac:dyDescent="0.5">
      <c r="A162" s="209">
        <f t="shared" si="42"/>
        <v>0</v>
      </c>
      <c r="B162" s="173">
        <f t="shared" si="43"/>
        <v>0</v>
      </c>
      <c r="C162" s="488"/>
      <c r="D162" s="162">
        <f t="shared" si="46"/>
        <v>0</v>
      </c>
      <c r="E162" s="159"/>
      <c r="F162" s="168">
        <f t="shared" si="45"/>
        <v>0</v>
      </c>
      <c r="G162" s="142">
        <v>7</v>
      </c>
      <c r="H162" s="147" t="s">
        <v>145</v>
      </c>
      <c r="I162" s="148"/>
      <c r="J162" s="201" t="s">
        <v>191</v>
      </c>
      <c r="K162" s="202"/>
      <c r="R162" s="188" t="s">
        <v>176</v>
      </c>
    </row>
    <row r="163" spans="1:19" s="2" customFormat="1" ht="21.95" customHeight="1" x14ac:dyDescent="0.5">
      <c r="A163" s="209">
        <f t="shared" si="42"/>
        <v>0</v>
      </c>
      <c r="B163" s="173">
        <f t="shared" si="43"/>
        <v>0</v>
      </c>
      <c r="C163" s="488"/>
      <c r="D163" s="162">
        <f t="shared" si="46"/>
        <v>0</v>
      </c>
      <c r="E163" s="159"/>
      <c r="F163" s="168">
        <f t="shared" si="45"/>
        <v>0</v>
      </c>
      <c r="G163" s="154">
        <v>8</v>
      </c>
      <c r="H163" s="145" t="s">
        <v>146</v>
      </c>
      <c r="I163" s="146"/>
      <c r="J163" s="203" t="s">
        <v>151</v>
      </c>
      <c r="K163" s="204"/>
      <c r="R163"/>
    </row>
    <row r="164" spans="1:19" s="2" customFormat="1" ht="21.95" customHeight="1" x14ac:dyDescent="0.5">
      <c r="A164" s="209">
        <f t="shared" si="42"/>
        <v>0</v>
      </c>
      <c r="B164" s="173">
        <f t="shared" si="43"/>
        <v>0</v>
      </c>
      <c r="C164" s="488"/>
      <c r="D164" s="162">
        <f t="shared" si="46"/>
        <v>0</v>
      </c>
      <c r="E164" s="159"/>
      <c r="F164" s="168">
        <f t="shared" si="45"/>
        <v>0</v>
      </c>
      <c r="G164" s="153">
        <v>9</v>
      </c>
      <c r="H164" s="151" t="s">
        <v>147</v>
      </c>
      <c r="I164" s="152"/>
      <c r="J164" s="205" t="s">
        <v>190</v>
      </c>
      <c r="K164" s="206"/>
      <c r="R164" s="188" t="s">
        <v>177</v>
      </c>
    </row>
    <row r="165" spans="1:19" s="2" customFormat="1" ht="21.95" customHeight="1" x14ac:dyDescent="0.5">
      <c r="A165" s="209">
        <f t="shared" si="42"/>
        <v>0</v>
      </c>
      <c r="B165" s="173">
        <f t="shared" si="43"/>
        <v>0</v>
      </c>
      <c r="C165" s="488"/>
      <c r="D165" s="162">
        <f t="shared" si="46"/>
        <v>0</v>
      </c>
      <c r="E165" s="159"/>
      <c r="F165" s="168">
        <f t="shared" si="45"/>
        <v>0</v>
      </c>
      <c r="G165" s="155">
        <v>10</v>
      </c>
      <c r="H165" s="145" t="s">
        <v>148</v>
      </c>
      <c r="I165" s="146"/>
      <c r="J165" s="205"/>
      <c r="K165" s="206"/>
      <c r="R165" s="188" t="s">
        <v>178</v>
      </c>
    </row>
    <row r="166" spans="1:19" s="2" customFormat="1" ht="21.95" customHeight="1" x14ac:dyDescent="0.5">
      <c r="A166" s="209">
        <f t="shared" si="42"/>
        <v>0</v>
      </c>
      <c r="B166" s="173">
        <f t="shared" si="43"/>
        <v>0</v>
      </c>
      <c r="C166" s="488"/>
      <c r="D166" s="162">
        <f t="shared" si="46"/>
        <v>0</v>
      </c>
      <c r="E166" s="159"/>
      <c r="F166" s="168">
        <f t="shared" si="45"/>
        <v>0</v>
      </c>
      <c r="G166" s="156">
        <v>11</v>
      </c>
      <c r="H166" s="149" t="s">
        <v>149</v>
      </c>
      <c r="I166" s="150"/>
      <c r="J166" s="205"/>
      <c r="K166" s="206"/>
      <c r="R166" s="188" t="s">
        <v>179</v>
      </c>
    </row>
    <row r="167" spans="1:19" s="2" customFormat="1" ht="21.95" customHeight="1" x14ac:dyDescent="0.5">
      <c r="A167" s="209">
        <f t="shared" si="42"/>
        <v>0</v>
      </c>
      <c r="B167" s="173">
        <f t="shared" si="43"/>
        <v>0</v>
      </c>
      <c r="C167" s="488"/>
      <c r="D167" s="162">
        <f t="shared" si="46"/>
        <v>0</v>
      </c>
      <c r="E167" s="159"/>
      <c r="F167" s="168">
        <f t="shared" si="45"/>
        <v>0</v>
      </c>
      <c r="G167" s="156">
        <v>12</v>
      </c>
      <c r="H167" s="149" t="s">
        <v>150</v>
      </c>
      <c r="I167" s="150"/>
      <c r="J167" s="207"/>
      <c r="K167" s="208"/>
      <c r="R167" s="188" t="s">
        <v>180</v>
      </c>
    </row>
    <row r="168" spans="1:19" s="2" customFormat="1" ht="21.95" customHeight="1" x14ac:dyDescent="0.5">
      <c r="A168" s="209">
        <f t="shared" si="42"/>
        <v>0</v>
      </c>
      <c r="B168" s="173">
        <f t="shared" si="43"/>
        <v>0</v>
      </c>
      <c r="C168" s="488"/>
      <c r="D168" s="162">
        <f t="shared" si="46"/>
        <v>0</v>
      </c>
      <c r="E168" s="159"/>
      <c r="F168" s="168">
        <f t="shared" si="45"/>
        <v>0</v>
      </c>
      <c r="G168" s="128"/>
      <c r="H168" s="128"/>
      <c r="I168" s="38"/>
      <c r="J168" s="47"/>
      <c r="K168" s="115"/>
      <c r="R168" s="188" t="s">
        <v>181</v>
      </c>
    </row>
    <row r="169" spans="1:19" s="2" customFormat="1" ht="21.75" customHeight="1" x14ac:dyDescent="0.5">
      <c r="A169" s="209">
        <f t="shared" si="42"/>
        <v>0</v>
      </c>
      <c r="B169" s="173">
        <f t="shared" si="43"/>
        <v>0</v>
      </c>
      <c r="C169" s="488"/>
      <c r="D169" s="162">
        <f t="shared" si="46"/>
        <v>0</v>
      </c>
      <c r="E169" s="159"/>
      <c r="F169" s="168">
        <f t="shared" si="45"/>
        <v>0</v>
      </c>
      <c r="G169" s="128"/>
      <c r="H169" s="128"/>
      <c r="I169" s="38"/>
      <c r="J169" s="47"/>
      <c r="K169" s="115"/>
      <c r="R169" s="188" t="s">
        <v>182</v>
      </c>
    </row>
    <row r="170" spans="1:19" s="2" customFormat="1" ht="21.95" customHeight="1" x14ac:dyDescent="0.5">
      <c r="A170" s="209">
        <f t="shared" si="42"/>
        <v>0</v>
      </c>
      <c r="B170" s="173">
        <f t="shared" si="43"/>
        <v>0</v>
      </c>
      <c r="C170" s="488"/>
      <c r="D170" s="163">
        <f t="shared" si="46"/>
        <v>0</v>
      </c>
      <c r="E170" s="484" t="str">
        <f>"จำนวนอาคาร"&amp;D6&amp;"ชั้น"</f>
        <v>จำนวนอาคาร18ชั้น</v>
      </c>
      <c r="F170" s="169">
        <f t="shared" si="45"/>
        <v>0</v>
      </c>
      <c r="G170" s="128"/>
      <c r="H170" s="128"/>
      <c r="I170" s="38"/>
      <c r="J170" s="47"/>
      <c r="K170" s="115"/>
      <c r="R170" s="188" t="s">
        <v>183</v>
      </c>
    </row>
    <row r="171" spans="1:19" s="2" customFormat="1" ht="21.95" customHeight="1" x14ac:dyDescent="0.5">
      <c r="A171" s="209">
        <f t="shared" si="42"/>
        <v>0</v>
      </c>
      <c r="B171" s="173">
        <f t="shared" si="43"/>
        <v>0</v>
      </c>
      <c r="C171" s="488"/>
      <c r="D171" s="164">
        <f t="shared" si="46"/>
        <v>0</v>
      </c>
      <c r="E171" s="484"/>
      <c r="F171" s="170">
        <f t="shared" si="45"/>
        <v>0</v>
      </c>
      <c r="G171" s="128"/>
      <c r="H171" s="128"/>
      <c r="I171" s="38"/>
      <c r="J171" s="47"/>
      <c r="K171" s="115"/>
      <c r="R171" s="188" t="s">
        <v>184</v>
      </c>
    </row>
    <row r="172" spans="1:19" s="2" customFormat="1" ht="21.95" customHeight="1" x14ac:dyDescent="0.5">
      <c r="A172" s="209">
        <f t="shared" si="42"/>
        <v>0</v>
      </c>
      <c r="B172" s="173">
        <f t="shared" si="43"/>
        <v>0</v>
      </c>
      <c r="C172" s="488"/>
      <c r="D172" s="164">
        <f t="shared" si="46"/>
        <v>0</v>
      </c>
      <c r="E172" s="484"/>
      <c r="F172" s="170">
        <f t="shared" si="45"/>
        <v>0</v>
      </c>
      <c r="G172" s="128"/>
      <c r="H172" s="128"/>
      <c r="I172" s="38"/>
      <c r="J172" s="47"/>
      <c r="K172" s="115"/>
      <c r="R172" s="188" t="s">
        <v>185</v>
      </c>
    </row>
    <row r="173" spans="1:19" x14ac:dyDescent="0.5">
      <c r="A173" s="209">
        <f t="shared" si="42"/>
        <v>0</v>
      </c>
      <c r="B173" s="173">
        <f t="shared" si="43"/>
        <v>0</v>
      </c>
      <c r="C173" s="488"/>
      <c r="D173" s="164">
        <f t="shared" si="46"/>
        <v>0</v>
      </c>
      <c r="E173" s="484"/>
      <c r="F173" s="170">
        <f t="shared" si="45"/>
        <v>0</v>
      </c>
      <c r="G173" s="11"/>
      <c r="H173" s="11"/>
      <c r="I173" s="11"/>
      <c r="J173" s="11"/>
      <c r="K173" s="10"/>
      <c r="R173" s="188" t="s">
        <v>186</v>
      </c>
    </row>
    <row r="174" spans="1:19" x14ac:dyDescent="0.5">
      <c r="A174" s="209">
        <f t="shared" si="42"/>
        <v>0</v>
      </c>
      <c r="B174" s="173">
        <f t="shared" si="43"/>
        <v>0</v>
      </c>
      <c r="C174" s="488"/>
      <c r="D174" s="164">
        <f t="shared" si="46"/>
        <v>0</v>
      </c>
      <c r="E174" s="484"/>
      <c r="F174" s="170">
        <f t="shared" si="45"/>
        <v>0</v>
      </c>
      <c r="G174" s="143"/>
      <c r="H174" s="11"/>
      <c r="I174" s="11"/>
      <c r="J174" s="11"/>
      <c r="K174" s="10"/>
      <c r="R174" s="188" t="s">
        <v>187</v>
      </c>
    </row>
    <row r="175" spans="1:19" x14ac:dyDescent="0.5">
      <c r="A175" s="209">
        <f t="shared" si="42"/>
        <v>0</v>
      </c>
      <c r="B175" s="173">
        <f t="shared" si="43"/>
        <v>0</v>
      </c>
      <c r="C175" s="488"/>
      <c r="D175" s="164">
        <f t="shared" ref="D175:D194" si="47">+B114</f>
        <v>0</v>
      </c>
      <c r="E175" s="484"/>
      <c r="F175" s="170">
        <f t="shared" si="45"/>
        <v>0</v>
      </c>
      <c r="G175" s="11"/>
      <c r="H175" s="11"/>
      <c r="I175" s="11"/>
      <c r="J175" s="11"/>
      <c r="K175" s="10"/>
      <c r="R175" s="188" t="s">
        <v>188</v>
      </c>
    </row>
    <row r="176" spans="1:19" x14ac:dyDescent="0.5">
      <c r="A176" s="209">
        <f t="shared" si="42"/>
        <v>0</v>
      </c>
      <c r="B176" s="173">
        <f t="shared" si="43"/>
        <v>0</v>
      </c>
      <c r="C176" s="488"/>
      <c r="D176" s="164">
        <f t="shared" si="47"/>
        <v>0</v>
      </c>
      <c r="E176" s="484"/>
      <c r="F176" s="170">
        <f t="shared" si="45"/>
        <v>0</v>
      </c>
      <c r="G176" s="11"/>
      <c r="H176" s="11"/>
      <c r="I176" s="11"/>
      <c r="J176" s="11"/>
      <c r="K176" s="10"/>
    </row>
    <row r="177" spans="1:11" x14ac:dyDescent="0.5">
      <c r="A177" s="209">
        <f t="shared" si="42"/>
        <v>18</v>
      </c>
      <c r="B177" s="173">
        <f t="shared" si="43"/>
        <v>202.2552</v>
      </c>
      <c r="C177" s="488"/>
      <c r="D177" s="164">
        <f t="shared" si="47"/>
        <v>18</v>
      </c>
      <c r="E177" s="484"/>
      <c r="F177" s="170">
        <f t="shared" si="45"/>
        <v>63</v>
      </c>
      <c r="G177" s="11"/>
      <c r="H177" s="11"/>
      <c r="I177" s="11"/>
      <c r="J177" s="11"/>
      <c r="K177" s="10"/>
    </row>
    <row r="178" spans="1:11" x14ac:dyDescent="0.5">
      <c r="A178" s="209">
        <f t="shared" si="42"/>
        <v>17</v>
      </c>
      <c r="B178" s="173">
        <f t="shared" si="43"/>
        <v>191.0188</v>
      </c>
      <c r="C178" s="488"/>
      <c r="D178" s="164">
        <f t="shared" si="47"/>
        <v>17</v>
      </c>
      <c r="E178" s="484"/>
      <c r="F178" s="170">
        <f t="shared" si="45"/>
        <v>59.5</v>
      </c>
      <c r="G178" s="11"/>
      <c r="H178" s="11"/>
      <c r="I178" s="11"/>
      <c r="J178" s="11"/>
      <c r="K178" s="10"/>
    </row>
    <row r="179" spans="1:11" x14ac:dyDescent="0.5">
      <c r="A179" s="209">
        <f t="shared" si="42"/>
        <v>16</v>
      </c>
      <c r="B179" s="173">
        <f t="shared" si="43"/>
        <v>179.7824</v>
      </c>
      <c r="C179" s="488"/>
      <c r="D179" s="164">
        <f t="shared" si="47"/>
        <v>16</v>
      </c>
      <c r="E179" s="484"/>
      <c r="F179" s="170">
        <f t="shared" si="45"/>
        <v>56</v>
      </c>
      <c r="G179" s="11"/>
      <c r="H179" s="11"/>
      <c r="I179" s="11"/>
      <c r="J179" s="11"/>
      <c r="K179" s="10"/>
    </row>
    <row r="180" spans="1:11" x14ac:dyDescent="0.5">
      <c r="A180" s="209">
        <f t="shared" si="42"/>
        <v>15</v>
      </c>
      <c r="B180" s="173">
        <f t="shared" si="43"/>
        <v>168.54599999999999</v>
      </c>
      <c r="C180" s="488"/>
      <c r="D180" s="164">
        <f t="shared" si="47"/>
        <v>15</v>
      </c>
      <c r="E180" s="484"/>
      <c r="F180" s="170">
        <f t="shared" si="45"/>
        <v>52.5</v>
      </c>
      <c r="G180" s="11"/>
      <c r="H180" s="11"/>
      <c r="I180" s="11"/>
      <c r="J180" s="11"/>
      <c r="K180" s="10"/>
    </row>
    <row r="181" spans="1:11" x14ac:dyDescent="0.5">
      <c r="A181" s="209">
        <f t="shared" si="42"/>
        <v>14</v>
      </c>
      <c r="B181" s="173">
        <f t="shared" si="43"/>
        <v>157.30959999999999</v>
      </c>
      <c r="C181" s="488"/>
      <c r="D181" s="164">
        <f t="shared" si="47"/>
        <v>14</v>
      </c>
      <c r="E181" s="484"/>
      <c r="F181" s="170">
        <f t="shared" si="45"/>
        <v>49</v>
      </c>
      <c r="G181" s="11"/>
      <c r="H181" s="11"/>
      <c r="I181" s="11"/>
      <c r="J181" s="11"/>
      <c r="K181" s="10"/>
    </row>
    <row r="182" spans="1:11" x14ac:dyDescent="0.5">
      <c r="A182" s="209">
        <f t="shared" si="42"/>
        <v>13</v>
      </c>
      <c r="B182" s="173">
        <f t="shared" si="43"/>
        <v>146.07320000000001</v>
      </c>
      <c r="C182" s="488"/>
      <c r="D182" s="162">
        <f t="shared" si="47"/>
        <v>13</v>
      </c>
      <c r="E182" s="159"/>
      <c r="F182" s="168">
        <f t="shared" si="45"/>
        <v>45.5</v>
      </c>
      <c r="G182" s="11"/>
      <c r="H182" s="11"/>
      <c r="I182" s="11"/>
      <c r="J182" s="11"/>
      <c r="K182" s="10"/>
    </row>
    <row r="183" spans="1:11" x14ac:dyDescent="0.5">
      <c r="A183" s="209">
        <f t="shared" si="42"/>
        <v>12</v>
      </c>
      <c r="B183" s="173">
        <f t="shared" si="43"/>
        <v>134.83680000000001</v>
      </c>
      <c r="C183" s="488"/>
      <c r="D183" s="162">
        <f t="shared" si="47"/>
        <v>12</v>
      </c>
      <c r="E183" s="159"/>
      <c r="F183" s="168">
        <f t="shared" si="45"/>
        <v>42</v>
      </c>
      <c r="G183" s="11"/>
      <c r="H183" s="11"/>
      <c r="I183" s="11"/>
      <c r="J183" s="11"/>
      <c r="K183" s="10"/>
    </row>
    <row r="184" spans="1:11" x14ac:dyDescent="0.5">
      <c r="A184" s="209">
        <f t="shared" si="42"/>
        <v>11</v>
      </c>
      <c r="B184" s="173">
        <f t="shared" si="43"/>
        <v>123.60039999999999</v>
      </c>
      <c r="C184" s="488"/>
      <c r="D184" s="157">
        <f t="shared" si="47"/>
        <v>11</v>
      </c>
      <c r="E184" s="158"/>
      <c r="F184" s="171">
        <f t="shared" si="45"/>
        <v>38.5</v>
      </c>
      <c r="G184" s="11"/>
      <c r="H184" s="11"/>
      <c r="I184" s="11"/>
      <c r="J184" s="11"/>
      <c r="K184" s="10"/>
    </row>
    <row r="185" spans="1:11" x14ac:dyDescent="0.5">
      <c r="A185" s="209">
        <f t="shared" si="42"/>
        <v>10</v>
      </c>
      <c r="B185" s="173">
        <f t="shared" si="43"/>
        <v>112.364</v>
      </c>
      <c r="C185" s="488"/>
      <c r="D185" s="162">
        <f t="shared" si="47"/>
        <v>10</v>
      </c>
      <c r="E185" s="159"/>
      <c r="F185" s="168">
        <f t="shared" si="45"/>
        <v>35</v>
      </c>
      <c r="G185" s="11"/>
      <c r="H185" s="11"/>
      <c r="I185" s="11"/>
      <c r="J185" s="11"/>
      <c r="K185" s="10"/>
    </row>
    <row r="186" spans="1:11" x14ac:dyDescent="0.5">
      <c r="A186" s="209">
        <f t="shared" si="42"/>
        <v>9</v>
      </c>
      <c r="B186" s="173">
        <f t="shared" si="43"/>
        <v>101.1276</v>
      </c>
      <c r="C186" s="488"/>
      <c r="D186" s="162">
        <f t="shared" si="47"/>
        <v>9</v>
      </c>
      <c r="E186" s="159"/>
      <c r="F186" s="168">
        <f t="shared" si="45"/>
        <v>31.5</v>
      </c>
      <c r="G186" s="11"/>
      <c r="H186" s="11"/>
      <c r="I186" s="11"/>
      <c r="J186" s="11"/>
      <c r="K186" s="10"/>
    </row>
    <row r="187" spans="1:11" x14ac:dyDescent="0.5">
      <c r="A187" s="209">
        <f t="shared" si="42"/>
        <v>8</v>
      </c>
      <c r="B187" s="173">
        <f t="shared" si="43"/>
        <v>89.891199999999998</v>
      </c>
      <c r="C187" s="488"/>
      <c r="D187" s="162">
        <f t="shared" si="47"/>
        <v>8</v>
      </c>
      <c r="E187" s="159"/>
      <c r="F187" s="168">
        <f t="shared" si="45"/>
        <v>28</v>
      </c>
      <c r="G187" s="11"/>
      <c r="H187" s="11"/>
      <c r="I187" s="11"/>
      <c r="J187" s="11"/>
      <c r="K187" s="10"/>
    </row>
    <row r="188" spans="1:11" x14ac:dyDescent="0.5">
      <c r="A188" s="209">
        <f t="shared" si="42"/>
        <v>7</v>
      </c>
      <c r="B188" s="173">
        <f t="shared" si="43"/>
        <v>78.654799999999994</v>
      </c>
      <c r="C188" s="488"/>
      <c r="D188" s="162">
        <f t="shared" si="47"/>
        <v>7</v>
      </c>
      <c r="E188" s="159"/>
      <c r="F188" s="168">
        <f t="shared" si="45"/>
        <v>24.5</v>
      </c>
      <c r="G188" s="11"/>
      <c r="H188" s="11"/>
      <c r="I188" s="11"/>
      <c r="J188" s="11"/>
      <c r="K188" s="10"/>
    </row>
    <row r="189" spans="1:11" x14ac:dyDescent="0.5">
      <c r="A189" s="209">
        <f t="shared" si="42"/>
        <v>6</v>
      </c>
      <c r="B189" s="173">
        <f t="shared" si="43"/>
        <v>67.418400000000005</v>
      </c>
      <c r="C189" s="488"/>
      <c r="D189" s="162">
        <f t="shared" si="47"/>
        <v>6</v>
      </c>
      <c r="E189" s="159"/>
      <c r="F189" s="168">
        <f t="shared" si="45"/>
        <v>21</v>
      </c>
      <c r="G189" s="11"/>
      <c r="H189" s="11"/>
      <c r="I189" s="11"/>
      <c r="J189" s="11"/>
      <c r="K189" s="10"/>
    </row>
    <row r="190" spans="1:11" x14ac:dyDescent="0.5">
      <c r="A190" s="209">
        <f t="shared" si="42"/>
        <v>5</v>
      </c>
      <c r="B190" s="173">
        <f t="shared" si="43"/>
        <v>56.182000000000002</v>
      </c>
      <c r="C190" s="488"/>
      <c r="D190" s="162">
        <f t="shared" si="47"/>
        <v>5</v>
      </c>
      <c r="E190" s="159"/>
      <c r="F190" s="168">
        <f t="shared" si="45"/>
        <v>17.5</v>
      </c>
      <c r="G190" s="11"/>
      <c r="H190" s="11"/>
      <c r="I190" s="11"/>
      <c r="J190" s="11"/>
      <c r="K190" s="10"/>
    </row>
    <row r="191" spans="1:11" x14ac:dyDescent="0.5">
      <c r="A191" s="209">
        <f t="shared" si="42"/>
        <v>4</v>
      </c>
      <c r="B191" s="173">
        <f t="shared" si="43"/>
        <v>44.945599999999999</v>
      </c>
      <c r="C191" s="488"/>
      <c r="D191" s="162">
        <f t="shared" si="47"/>
        <v>4</v>
      </c>
      <c r="E191" s="159"/>
      <c r="F191" s="168">
        <f t="shared" si="45"/>
        <v>14</v>
      </c>
      <c r="G191" s="11"/>
      <c r="H191" s="11"/>
      <c r="I191" s="11"/>
      <c r="J191" s="11"/>
      <c r="K191" s="10"/>
    </row>
    <row r="192" spans="1:11" x14ac:dyDescent="0.5">
      <c r="A192" s="209">
        <f t="shared" si="42"/>
        <v>3</v>
      </c>
      <c r="B192" s="173">
        <f t="shared" si="43"/>
        <v>33.709200000000003</v>
      </c>
      <c r="C192" s="488"/>
      <c r="D192" s="162">
        <f t="shared" si="47"/>
        <v>3</v>
      </c>
      <c r="E192" s="159"/>
      <c r="F192" s="168">
        <f t="shared" si="45"/>
        <v>10.5</v>
      </c>
      <c r="G192" s="11"/>
      <c r="H192" s="11"/>
      <c r="I192" s="11"/>
      <c r="J192" s="11"/>
      <c r="K192" s="10"/>
    </row>
    <row r="193" spans="1:11" x14ac:dyDescent="0.5">
      <c r="A193" s="209">
        <f t="shared" si="42"/>
        <v>2</v>
      </c>
      <c r="B193" s="173">
        <f t="shared" si="43"/>
        <v>22.472799999999999</v>
      </c>
      <c r="C193" s="488"/>
      <c r="D193" s="162">
        <f t="shared" si="47"/>
        <v>2</v>
      </c>
      <c r="E193" s="159"/>
      <c r="F193" s="168">
        <f t="shared" si="45"/>
        <v>7</v>
      </c>
      <c r="G193" s="11"/>
      <c r="H193" s="11"/>
      <c r="I193" s="11"/>
      <c r="J193" s="11"/>
      <c r="K193" s="10"/>
    </row>
    <row r="194" spans="1:11" ht="24" thickBot="1" x14ac:dyDescent="0.55000000000000004">
      <c r="A194" s="209">
        <f>+D194</f>
        <v>1</v>
      </c>
      <c r="B194" s="173">
        <f t="shared" si="43"/>
        <v>11.2364</v>
      </c>
      <c r="C194" s="488"/>
      <c r="D194" s="165">
        <f t="shared" si="47"/>
        <v>1</v>
      </c>
      <c r="E194" s="166"/>
      <c r="F194" s="172">
        <f>+D79</f>
        <v>3.5</v>
      </c>
      <c r="G194" s="11"/>
      <c r="H194" s="11"/>
      <c r="I194" s="11"/>
      <c r="J194" s="11"/>
      <c r="K194" s="10"/>
    </row>
    <row r="195" spans="1:11" x14ac:dyDescent="0.5">
      <c r="A195" s="114"/>
      <c r="B195" s="173"/>
      <c r="C195" s="10"/>
      <c r="D195" s="11"/>
      <c r="E195" s="11"/>
      <c r="F195" s="10"/>
      <c r="G195" s="11"/>
      <c r="H195" s="395" t="str">
        <f>+"Vที่ฐาน"&amp;H33&amp;"tons"</f>
        <v>Vที่ฐาน1922.3218tons</v>
      </c>
      <c r="I195" s="396"/>
      <c r="J195" s="11"/>
      <c r="K195" s="10"/>
    </row>
    <row r="196" spans="1:11" x14ac:dyDescent="0.5">
      <c r="A196" s="114"/>
      <c r="B196" s="11"/>
      <c r="C196" s="11"/>
      <c r="D196" s="11"/>
      <c r="E196" s="11"/>
      <c r="F196" s="11"/>
      <c r="G196" s="11"/>
      <c r="H196" s="396"/>
      <c r="I196" s="396"/>
      <c r="J196" s="11"/>
      <c r="K196" s="10"/>
    </row>
    <row r="197" spans="1:11" ht="26.25" x14ac:dyDescent="0.55000000000000004">
      <c r="A197" s="114"/>
      <c r="B197" s="386" t="str">
        <f>+"M ที่ฐาน"&amp;ROUND(J80,2)&amp;"t-m"</f>
        <v>M ที่ฐาน82941.49t-m</v>
      </c>
      <c r="C197" s="386"/>
      <c r="D197" s="11"/>
      <c r="E197" s="116" t="str">
        <f>"กว้าง"   &amp;D4&amp;"m"</f>
        <v>กว้าง40m</v>
      </c>
      <c r="F197" s="11"/>
      <c r="G197" s="11"/>
      <c r="H197" s="11"/>
      <c r="I197" s="11"/>
      <c r="J197" s="11"/>
      <c r="K197" s="10"/>
    </row>
    <row r="198" spans="1:11" x14ac:dyDescent="0.5">
      <c r="A198" s="114"/>
      <c r="B198" s="386"/>
      <c r="C198" s="386"/>
      <c r="D198" s="11"/>
      <c r="E198" s="11"/>
      <c r="F198" s="11"/>
      <c r="G198" s="11"/>
      <c r="H198" s="11"/>
      <c r="I198" s="11"/>
      <c r="J198" s="11"/>
      <c r="K198" s="10"/>
    </row>
    <row r="199" spans="1:11" x14ac:dyDescent="0.5">
      <c r="A199" s="114"/>
      <c r="B199" s="11"/>
      <c r="C199" s="11"/>
      <c r="D199" s="11"/>
      <c r="E199" s="11"/>
      <c r="F199" s="11"/>
      <c r="G199" s="11"/>
      <c r="H199" s="11"/>
      <c r="I199" s="11"/>
      <c r="J199" s="11"/>
      <c r="K199" s="10"/>
    </row>
    <row r="200" spans="1:11" x14ac:dyDescent="0.5">
      <c r="A200" s="114"/>
      <c r="B200" s="11"/>
      <c r="C200" s="11"/>
      <c r="D200" s="11"/>
      <c r="E200" s="11"/>
      <c r="F200" s="11"/>
      <c r="G200" s="11"/>
      <c r="H200" s="11"/>
      <c r="I200" s="11"/>
      <c r="J200" s="11"/>
      <c r="K200" s="10"/>
    </row>
    <row r="201" spans="1:11" x14ac:dyDescent="0.5">
      <c r="A201" s="114"/>
      <c r="B201" s="11"/>
      <c r="C201" s="11"/>
      <c r="D201" s="11"/>
      <c r="E201" s="11"/>
      <c r="F201" s="11"/>
      <c r="G201" s="11"/>
      <c r="H201" s="11"/>
      <c r="I201" s="11"/>
      <c r="J201" s="11"/>
      <c r="K201" s="10"/>
    </row>
    <row r="202" spans="1:11" x14ac:dyDescent="0.5">
      <c r="A202" s="114"/>
      <c r="B202" s="11"/>
      <c r="C202" s="11"/>
      <c r="D202" s="11"/>
      <c r="E202" s="11"/>
      <c r="F202" s="11"/>
      <c r="G202" s="11"/>
      <c r="H202" s="11"/>
      <c r="I202" s="11"/>
      <c r="J202" s="11"/>
      <c r="K202" s="10"/>
    </row>
    <row r="203" spans="1:11" x14ac:dyDescent="0.5">
      <c r="A203" s="114"/>
      <c r="B203" s="11"/>
      <c r="C203" s="11"/>
      <c r="D203" s="11"/>
      <c r="E203" s="11"/>
      <c r="F203" s="11"/>
      <c r="G203" s="11"/>
      <c r="H203" s="11"/>
      <c r="I203" s="11"/>
      <c r="J203" s="11"/>
      <c r="K203" s="10"/>
    </row>
    <row r="204" spans="1:11" x14ac:dyDescent="0.5">
      <c r="A204" s="114"/>
      <c r="B204" s="11"/>
      <c r="C204" s="11"/>
      <c r="D204" s="11"/>
      <c r="E204" s="11"/>
      <c r="F204" s="11"/>
      <c r="G204" s="11"/>
      <c r="H204" s="11"/>
      <c r="I204" s="11"/>
      <c r="J204" s="11"/>
      <c r="K204" s="10"/>
    </row>
    <row r="205" spans="1:11" ht="24" thickBot="1" x14ac:dyDescent="0.55000000000000004">
      <c r="A205" s="117"/>
      <c r="B205" s="118"/>
      <c r="C205" s="118"/>
      <c r="D205" s="118"/>
      <c r="E205" s="118"/>
      <c r="F205" s="118"/>
      <c r="G205" s="118"/>
      <c r="H205" s="118"/>
      <c r="I205" s="118"/>
      <c r="J205" s="118"/>
      <c r="K205" s="119"/>
    </row>
    <row r="206" spans="1:11" x14ac:dyDescent="0.5">
      <c r="A206" s="375" t="s">
        <v>115</v>
      </c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</row>
    <row r="207" spans="1:11" x14ac:dyDescent="0.5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</row>
  </sheetData>
  <sheetProtection password="CC3D" sheet="1" objects="1" scenarios="1"/>
  <mergeCells count="45">
    <mergeCell ref="B2:K2"/>
    <mergeCell ref="F30:H30"/>
    <mergeCell ref="B34:K34"/>
    <mergeCell ref="B84:K84"/>
    <mergeCell ref="B3:K3"/>
    <mergeCell ref="A82:K83"/>
    <mergeCell ref="B16:C16"/>
    <mergeCell ref="D16:E16"/>
    <mergeCell ref="A2:A7"/>
    <mergeCell ref="A8:A16"/>
    <mergeCell ref="B8:K8"/>
    <mergeCell ref="A24:A27"/>
    <mergeCell ref="A28:A31"/>
    <mergeCell ref="A32:A33"/>
    <mergeCell ref="H16:I16"/>
    <mergeCell ref="F16:G16"/>
    <mergeCell ref="N32:R32"/>
    <mergeCell ref="N33:R33"/>
    <mergeCell ref="B20:K20"/>
    <mergeCell ref="B17:K17"/>
    <mergeCell ref="B22:K22"/>
    <mergeCell ref="B24:K24"/>
    <mergeCell ref="B28:K28"/>
    <mergeCell ref="B32:K32"/>
    <mergeCell ref="F27:I27"/>
    <mergeCell ref="E29:G29"/>
    <mergeCell ref="D21:K21"/>
    <mergeCell ref="E18:H18"/>
    <mergeCell ref="D23:H23"/>
    <mergeCell ref="B18:C18"/>
    <mergeCell ref="A17:A19"/>
    <mergeCell ref="A20:A21"/>
    <mergeCell ref="A22:A23"/>
    <mergeCell ref="A206:K207"/>
    <mergeCell ref="D152:D153"/>
    <mergeCell ref="A34:A38"/>
    <mergeCell ref="A84:A86"/>
    <mergeCell ref="A87:A92"/>
    <mergeCell ref="E170:E181"/>
    <mergeCell ref="H195:I196"/>
    <mergeCell ref="B197:C198"/>
    <mergeCell ref="B87:K87"/>
    <mergeCell ref="C155:C194"/>
    <mergeCell ref="G155:K155"/>
    <mergeCell ref="A148:K149"/>
  </mergeCells>
  <dataValidations disablePrompts="1" count="6">
    <dataValidation type="list" allowBlank="1" showInputMessage="1" showErrorMessage="1" sqref="B18:C18">
      <formula1>$Q$19:$Q$20</formula1>
    </dataValidation>
    <dataValidation type="list" allowBlank="1" showInputMessage="1" showErrorMessage="1" sqref="D29">
      <formula1>$O$34:$O$37</formula1>
    </dataValidation>
    <dataValidation type="list" allowBlank="1" showInputMessage="1" showErrorMessage="1" sqref="F30">
      <formula1>$N$32:$N$33</formula1>
    </dataValidation>
    <dataValidation type="list" allowBlank="1" showInputMessage="1" showErrorMessage="1" sqref="C23">
      <formula1>$T$33:$T$37</formula1>
    </dataValidation>
    <dataValidation type="list" allowBlank="1" showInputMessage="1" showErrorMessage="1" sqref="B21">
      <formula1>$M$23:$M$25</formula1>
    </dataValidation>
    <dataValidation type="list" allowBlank="1" showInputMessage="1" showErrorMessage="1" sqref="B25">
      <formula1>$X$24:$X$25</formula1>
    </dataValidation>
  </dataValidations>
  <pageMargins left="0.70866141732283472" right="0.70866141732283472" top="0.74803149606299213" bottom="0.59055118110236227" header="0.31496062992125984" footer="0.31496062992125984"/>
  <pageSetup paperSize="9" scale="49" orientation="portrait" horizontalDpi="4294967293" verticalDpi="0" r:id="rId1"/>
  <rowBreaks count="2" manualBreakCount="2">
    <brk id="83" max="10" man="1"/>
    <brk id="149" max="10" man="1"/>
  </rowBreaks>
  <colBreaks count="1" manualBreakCount="1">
    <brk id="17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53"/>
  <sheetViews>
    <sheetView view="pageBreakPreview" topLeftCell="A13" zoomScale="70" zoomScaleNormal="100" zoomScaleSheetLayoutView="70" workbookViewId="0">
      <selection activeCell="B34" sqref="B34:G34"/>
    </sheetView>
  </sheetViews>
  <sheetFormatPr defaultRowHeight="23.25" x14ac:dyDescent="0.5"/>
  <cols>
    <col min="1" max="1" width="9.140625" style="2"/>
    <col min="2" max="11" width="12.7109375" style="2" customWidth="1"/>
    <col min="12" max="13" width="9.140625" style="2"/>
    <col min="14" max="14" width="18.7109375" style="2" customWidth="1"/>
    <col min="15" max="15" width="9.140625" style="2"/>
    <col min="16" max="16" width="13" style="2" bestFit="1" customWidth="1"/>
    <col min="17" max="20" width="9.140625" style="2"/>
    <col min="21" max="21" width="15.7109375" style="2" customWidth="1"/>
    <col min="22" max="23" width="9.140625" style="2"/>
    <col min="24" max="24" width="17.85546875" style="2" customWidth="1"/>
    <col min="25" max="16384" width="9.140625" style="2"/>
  </cols>
  <sheetData>
    <row r="1" spans="1:16" x14ac:dyDescent="0.5">
      <c r="A1" s="447" t="s">
        <v>127</v>
      </c>
      <c r="B1" s="465" t="s">
        <v>202</v>
      </c>
      <c r="C1" s="465"/>
      <c r="D1" s="465"/>
      <c r="E1" s="465"/>
      <c r="F1" s="465"/>
      <c r="G1" s="465"/>
      <c r="H1" s="465"/>
      <c r="I1" s="465"/>
      <c r="J1" s="465"/>
      <c r="K1" s="466"/>
    </row>
    <row r="2" spans="1:16" x14ac:dyDescent="0.5">
      <c r="A2" s="448"/>
      <c r="B2" s="450" t="s">
        <v>14</v>
      </c>
      <c r="C2" s="450"/>
      <c r="D2" s="450"/>
      <c r="E2" s="450"/>
      <c r="F2" s="450"/>
      <c r="G2" s="450"/>
      <c r="H2" s="450"/>
      <c r="I2" s="450"/>
      <c r="J2" s="450"/>
      <c r="K2" s="451"/>
      <c r="O2" s="2" t="s">
        <v>68</v>
      </c>
      <c r="P2" s="5">
        <f>(C11)*(D3*H3)</f>
        <v>1536000</v>
      </c>
    </row>
    <row r="3" spans="1:16" x14ac:dyDescent="0.5">
      <c r="A3" s="448"/>
      <c r="B3" s="13" t="s">
        <v>15</v>
      </c>
      <c r="C3" s="13"/>
      <c r="D3" s="100">
        <v>40</v>
      </c>
      <c r="E3" s="13" t="s">
        <v>16</v>
      </c>
      <c r="F3" s="13" t="s">
        <v>19</v>
      </c>
      <c r="G3" s="13"/>
      <c r="H3" s="100">
        <v>80</v>
      </c>
      <c r="I3" s="13" t="s">
        <v>16</v>
      </c>
      <c r="J3" s="13"/>
      <c r="K3" s="14"/>
      <c r="O3" s="2" t="s">
        <v>63</v>
      </c>
      <c r="P3" s="5">
        <f>+D11*D14</f>
        <v>103680</v>
      </c>
    </row>
    <row r="4" spans="1:16" x14ac:dyDescent="0.5">
      <c r="A4" s="448"/>
      <c r="B4" s="13" t="s">
        <v>17</v>
      </c>
      <c r="C4" s="13"/>
      <c r="D4" s="100">
        <v>21</v>
      </c>
      <c r="E4" s="13" t="s">
        <v>16</v>
      </c>
      <c r="F4" s="13" t="s">
        <v>18</v>
      </c>
      <c r="G4" s="13"/>
      <c r="H4" s="100">
        <v>3.5</v>
      </c>
      <c r="I4" s="13" t="s">
        <v>20</v>
      </c>
      <c r="J4" s="13"/>
      <c r="K4" s="14"/>
      <c r="O4" s="2" t="s">
        <v>54</v>
      </c>
      <c r="P4" s="5">
        <f>+F11*(H4-D10)*D13</f>
        <v>125280</v>
      </c>
    </row>
    <row r="5" spans="1:16" x14ac:dyDescent="0.5">
      <c r="A5" s="448"/>
      <c r="B5" s="13" t="s">
        <v>21</v>
      </c>
      <c r="C5" s="13"/>
      <c r="D5" s="100">
        <v>6</v>
      </c>
      <c r="E5" s="13" t="s">
        <v>22</v>
      </c>
      <c r="F5" s="11" t="s">
        <v>97</v>
      </c>
      <c r="G5" s="11"/>
      <c r="H5" s="100">
        <v>240</v>
      </c>
      <c r="I5" s="15" t="s">
        <v>98</v>
      </c>
      <c r="J5" s="13"/>
      <c r="K5" s="14"/>
      <c r="O5" s="2" t="s">
        <v>61</v>
      </c>
      <c r="P5" s="5">
        <f>+H11*D3*H3</f>
        <v>0</v>
      </c>
    </row>
    <row r="6" spans="1:16" ht="24" thickBot="1" x14ac:dyDescent="0.55000000000000004">
      <c r="A6" s="449"/>
      <c r="B6" s="16"/>
      <c r="C6" s="16"/>
      <c r="D6" s="17"/>
      <c r="E6" s="16"/>
      <c r="F6" s="16" t="s">
        <v>96</v>
      </c>
      <c r="G6" s="18"/>
      <c r="H6" s="16">
        <f>ROUND(15210*(H5)^0.5,2)</f>
        <v>235632.31</v>
      </c>
      <c r="I6" s="19" t="s">
        <v>98</v>
      </c>
      <c r="J6" s="16"/>
      <c r="K6" s="20"/>
      <c r="O6" s="2" t="s">
        <v>33</v>
      </c>
      <c r="P6" s="2">
        <f>+G14*H4*E11</f>
        <v>688128.00000000012</v>
      </c>
    </row>
    <row r="7" spans="1:16" ht="24" thickBot="1" x14ac:dyDescent="0.55000000000000004">
      <c r="A7" s="454" t="s">
        <v>128</v>
      </c>
      <c r="B7" s="452" t="s">
        <v>53</v>
      </c>
      <c r="C7" s="452"/>
      <c r="D7" s="452"/>
      <c r="E7" s="452"/>
      <c r="F7" s="452"/>
      <c r="G7" s="452"/>
      <c r="H7" s="452"/>
      <c r="I7" s="452"/>
      <c r="J7" s="452"/>
      <c r="K7" s="453"/>
      <c r="O7" s="2" t="s">
        <v>64</v>
      </c>
      <c r="P7" s="2">
        <f>+G13*G11</f>
        <v>0</v>
      </c>
    </row>
    <row r="8" spans="1:16" ht="24" thickBot="1" x14ac:dyDescent="0.55000000000000004">
      <c r="A8" s="455"/>
      <c r="B8" s="87" t="s">
        <v>36</v>
      </c>
      <c r="C8" s="92" t="s">
        <v>31</v>
      </c>
      <c r="D8" s="93" t="s">
        <v>32</v>
      </c>
      <c r="E8" s="92" t="s">
        <v>33</v>
      </c>
      <c r="F8" s="92" t="s">
        <v>54</v>
      </c>
      <c r="G8" s="92" t="s">
        <v>55</v>
      </c>
      <c r="H8" s="92" t="s">
        <v>61</v>
      </c>
      <c r="I8" s="92" t="s">
        <v>125</v>
      </c>
      <c r="J8" s="92" t="s">
        <v>62</v>
      </c>
      <c r="K8" s="92" t="s">
        <v>62</v>
      </c>
      <c r="O8" s="2" t="s">
        <v>125</v>
      </c>
      <c r="P8" s="2">
        <f>+J13*I11</f>
        <v>6048</v>
      </c>
    </row>
    <row r="9" spans="1:16" x14ac:dyDescent="0.5">
      <c r="A9" s="455"/>
      <c r="B9" s="94" t="s">
        <v>34</v>
      </c>
      <c r="C9" s="21"/>
      <c r="D9" s="102">
        <v>0.3</v>
      </c>
      <c r="E9" s="102">
        <v>0.8</v>
      </c>
      <c r="F9" s="21"/>
      <c r="G9" s="21"/>
      <c r="H9" s="21"/>
      <c r="I9" s="102">
        <v>0.3</v>
      </c>
      <c r="J9" s="91"/>
      <c r="K9" s="22"/>
      <c r="O9" s="2" t="s">
        <v>65</v>
      </c>
      <c r="P9" s="221">
        <f>+J11</f>
        <v>0</v>
      </c>
    </row>
    <row r="10" spans="1:16" x14ac:dyDescent="0.5">
      <c r="A10" s="455"/>
      <c r="B10" s="95" t="s">
        <v>35</v>
      </c>
      <c r="C10" s="101">
        <v>0.2</v>
      </c>
      <c r="D10" s="101">
        <v>0.6</v>
      </c>
      <c r="E10" s="101">
        <v>0.8</v>
      </c>
      <c r="F10" s="23"/>
      <c r="G10" s="101">
        <v>0</v>
      </c>
      <c r="H10" s="23"/>
      <c r="I10" s="101">
        <v>0.6</v>
      </c>
      <c r="J10" s="24"/>
      <c r="K10" s="25"/>
      <c r="O10" s="2" t="s">
        <v>65</v>
      </c>
      <c r="P10" s="221">
        <f>+K11</f>
        <v>0</v>
      </c>
    </row>
    <row r="11" spans="1:16" x14ac:dyDescent="0.5">
      <c r="A11" s="455"/>
      <c r="B11" s="94" t="s">
        <v>52</v>
      </c>
      <c r="C11" s="26">
        <f>1*C10*2400</f>
        <v>480</v>
      </c>
      <c r="D11" s="27">
        <f>+D9*D10*2400</f>
        <v>432</v>
      </c>
      <c r="E11" s="27">
        <f>+E9*E10*2400</f>
        <v>1536.0000000000002</v>
      </c>
      <c r="F11" s="105">
        <v>180</v>
      </c>
      <c r="G11" s="27">
        <f>+G10*H4*1*2400</f>
        <v>0</v>
      </c>
      <c r="H11" s="105">
        <v>0</v>
      </c>
      <c r="I11" s="27">
        <f>+I9*I10*2400</f>
        <v>432</v>
      </c>
      <c r="J11" s="105">
        <v>0</v>
      </c>
      <c r="K11" s="107">
        <v>0</v>
      </c>
    </row>
    <row r="12" spans="1:16" ht="24" thickBot="1" x14ac:dyDescent="0.55000000000000004">
      <c r="A12" s="455"/>
      <c r="B12" s="96" t="s">
        <v>67</v>
      </c>
      <c r="C12" s="28">
        <f>+P2</f>
        <v>1536000</v>
      </c>
      <c r="D12" s="28">
        <f>+P3</f>
        <v>103680</v>
      </c>
      <c r="E12" s="28">
        <f>+P6</f>
        <v>688128.00000000012</v>
      </c>
      <c r="F12" s="28">
        <f>+P4</f>
        <v>125280</v>
      </c>
      <c r="G12" s="28">
        <f>+P7</f>
        <v>0</v>
      </c>
      <c r="H12" s="28">
        <f>+P5</f>
        <v>0</v>
      </c>
      <c r="I12" s="28">
        <f>+I11*J13</f>
        <v>6048</v>
      </c>
      <c r="J12" s="29"/>
      <c r="K12" s="30"/>
    </row>
    <row r="13" spans="1:16" x14ac:dyDescent="0.5">
      <c r="A13" s="455"/>
      <c r="B13" s="32" t="s">
        <v>56</v>
      </c>
      <c r="C13" s="31"/>
      <c r="D13" s="103">
        <v>240</v>
      </c>
      <c r="E13" s="32" t="s">
        <v>58</v>
      </c>
      <c r="F13" s="13"/>
      <c r="G13" s="103">
        <v>0</v>
      </c>
      <c r="H13" s="32" t="s">
        <v>126</v>
      </c>
      <c r="I13" s="33"/>
      <c r="J13" s="103">
        <v>14</v>
      </c>
      <c r="K13" s="14"/>
    </row>
    <row r="14" spans="1:16" x14ac:dyDescent="0.5">
      <c r="A14" s="455"/>
      <c r="B14" s="32" t="s">
        <v>57</v>
      </c>
      <c r="C14" s="31"/>
      <c r="D14" s="104">
        <v>240</v>
      </c>
      <c r="E14" s="32" t="s">
        <v>59</v>
      </c>
      <c r="F14" s="13"/>
      <c r="G14" s="106">
        <v>128</v>
      </c>
      <c r="H14" s="9"/>
      <c r="I14" s="33"/>
      <c r="J14" s="13"/>
      <c r="K14" s="14"/>
    </row>
    <row r="15" spans="1:16" ht="24" thickBot="1" x14ac:dyDescent="0.55000000000000004">
      <c r="A15" s="508"/>
      <c r="B15" s="456" t="s">
        <v>60</v>
      </c>
      <c r="C15" s="456"/>
      <c r="D15" s="457">
        <f>+SUM(P2:P10)/1000</f>
        <v>2459.136</v>
      </c>
      <c r="E15" s="457"/>
      <c r="F15" s="458" t="s">
        <v>66</v>
      </c>
      <c r="G15" s="458"/>
      <c r="H15" s="457">
        <f>ROUND(D15*D5,4)</f>
        <v>14754.816000000001</v>
      </c>
      <c r="I15" s="457"/>
      <c r="J15" s="16"/>
      <c r="K15" s="20"/>
    </row>
    <row r="16" spans="1:16" x14ac:dyDescent="0.5">
      <c r="B16" s="521" t="s">
        <v>193</v>
      </c>
      <c r="C16" s="422"/>
      <c r="D16" s="422"/>
      <c r="E16" s="422"/>
      <c r="F16" s="422"/>
      <c r="G16" s="422"/>
      <c r="H16" s="422"/>
      <c r="I16" s="422"/>
      <c r="J16" s="422"/>
      <c r="K16" s="424"/>
    </row>
    <row r="17" spans="2:26" x14ac:dyDescent="0.5">
      <c r="B17" s="544">
        <v>5</v>
      </c>
      <c r="C17" s="463" t="str">
        <f>+IF(B17=1,"ได้แก่ เพชรบุรี,ราชบุรี,นครปฐม",IF(B17=2,"ได้แก่ นครปฐม,สมุทสงคราม,สมุทรสาคร",IF(B17=3,"ได้แก่ อยุธยา",IF(B17=4,"ได้แก่ นนทบุรี,ปทุมธานี (อ.เมือง ,อ.ลาดหลุมแก้ว)",IF(B17=5,"ได้แก่ กรุงเทพฯ,สมุทรปราการ",IF(B17=6,"ได้แก่ ฉะเชิงเทรา,นครนายก,ปทุมธานี,ปราจีนบุรี",IF(B17=7,"ได้แก่ ชลบุรี",IF(B17=8,"ภาคอื่นๆอาทิ ภาคเหนือ,ภาคใต้,ภาคอีสานและพื้นที่อื่นฯ"))))))))</f>
        <v>ได้แก่ กรุงเทพฯ,สมุทรปราการ</v>
      </c>
      <c r="D17" s="463"/>
      <c r="E17" s="463"/>
      <c r="F17" s="463"/>
      <c r="G17" s="463"/>
      <c r="H17" s="463"/>
      <c r="I17" s="463"/>
      <c r="J17" s="463"/>
      <c r="K17" s="219"/>
    </row>
    <row r="18" spans="2:26" x14ac:dyDescent="0.5">
      <c r="B18" s="545"/>
      <c r="C18" s="464"/>
      <c r="D18" s="464"/>
      <c r="E18" s="464"/>
      <c r="F18" s="464"/>
      <c r="G18" s="464"/>
      <c r="H18" s="464"/>
      <c r="I18" s="464"/>
      <c r="J18" s="464"/>
      <c r="V18" s="546">
        <v>1</v>
      </c>
      <c r="W18" s="546"/>
      <c r="X18" s="216"/>
      <c r="Y18" s="547">
        <v>2</v>
      </c>
      <c r="Z18" s="547"/>
    </row>
    <row r="19" spans="2:26" x14ac:dyDescent="0.5">
      <c r="B19" s="548">
        <f>+B17</f>
        <v>5</v>
      </c>
      <c r="C19" s="214" t="s">
        <v>203</v>
      </c>
      <c r="D19" s="215" t="s">
        <v>204</v>
      </c>
      <c r="E19" s="215" t="s">
        <v>205</v>
      </c>
      <c r="F19" s="215" t="s">
        <v>206</v>
      </c>
      <c r="G19" s="215" t="s">
        <v>207</v>
      </c>
      <c r="H19" s="215" t="s">
        <v>208</v>
      </c>
      <c r="I19" s="215" t="s">
        <v>209</v>
      </c>
      <c r="J19" s="215" t="s">
        <v>210</v>
      </c>
      <c r="K19" s="215" t="s">
        <v>213</v>
      </c>
      <c r="O19" s="210">
        <v>1</v>
      </c>
      <c r="P19" s="2" t="s">
        <v>194</v>
      </c>
      <c r="U19" s="550" t="s">
        <v>227</v>
      </c>
      <c r="V19" s="365" t="s">
        <v>216</v>
      </c>
      <c r="W19" s="366"/>
      <c r="X19" s="550" t="s">
        <v>227</v>
      </c>
      <c r="Y19" s="365" t="s">
        <v>218</v>
      </c>
      <c r="Z19" s="366"/>
    </row>
    <row r="20" spans="2:26" x14ac:dyDescent="0.5">
      <c r="B20" s="549"/>
      <c r="C20" s="213">
        <f>+IF($B$17=1,0.297,IF($B$17=2,0.199,IF($B$17=3,0.192,IF($B$17=4,0.154,IF($B$17=5,0.126,IF($B$17=6,0.113,IF($B$17=7,0.217,IF(B17=8,"กรอกค่าเอง"))))))))</f>
        <v>0.126</v>
      </c>
      <c r="D20" s="213">
        <f>+IF($B$17=1,0.297,IF($B$17=2,0.199,IF($B$17=3,0.192,IF($B$17=4,0.154,IF($B$17=5,0.126,IF($B$17=6,0.113,IF($B$17=7,0.217,IF(B17=8,"กรอกค่าเอง"))))))))</f>
        <v>0.126</v>
      </c>
      <c r="E20" s="213">
        <f>+IF($B$17=1,0.284,IF($B$17=2,0.274,IF($B$17=3,0.198,IF($B$17=4,0.211,IF($B$17=5,0.158,IF($B$17=6,0.144,IF($B$17=7,0.147,IF(B17=8,"กรอกค่าเอง"))))))))</f>
        <v>0.158</v>
      </c>
      <c r="F20" s="213">
        <f>+IF($B$17=1,0.174,IF($B$17=2,0.205,IF($B$17=3,0.154,IF($B$17=4,0.17,IF($B$17=5,0.174,IF($B$17=6,0.149,IF($B$17=7,0.149,IF(B17=8,"กรอกค่าเอง"))))))))</f>
        <v>0.17399999999999999</v>
      </c>
      <c r="G20" s="213">
        <f>+IF($B$17=1,0.083,IF($B$17=2,0.107,IF($B$17=3,0.071,IF($B$17=4,0.077,IF($B$17=5,0.078,IF($B$17=6,0.067,IF($B$17=7,0.068,IF(B17=8,"กรอกค่าเอง"))))))))</f>
        <v>7.8E-2</v>
      </c>
      <c r="H20" s="213">
        <f>+IF($B$17=1,0.062,IF($B$17=2,0.08,IF($B$17=3,0.053,IF($B$17=4,0.058,IF($B$17=5,0.058,IF($B$17=6,0.05,IF($B$17=7,0.051,IF(B17=8,"กรอกค่าเอง"))))))))</f>
        <v>5.8000000000000003E-2</v>
      </c>
      <c r="I20" s="213">
        <f>+IF($B$17=1,0.05,IF($B$17=2,0.064,IF($B$17=3,0.043,IF($B$17=4,0.046,IF($B$17=5,0.047,IF($B$17=6,0.04,IF($B$17=7,0.041,IF(B17=8,"กรอกค่าเอง"))))))))</f>
        <v>4.7E-2</v>
      </c>
      <c r="J20" s="213">
        <f>+IF($B$17=1,0.041,IF($B$17=2,0.054,IF($B$17=3,0.036,IF($B$17=4,0.039,IF($B$17=5,0.039,IF($B$17=6,0.034,IF($B$17=7,0.034,IF(B17=8,"กรอกค่าเอง"))))))))</f>
        <v>3.9E-2</v>
      </c>
      <c r="K20" s="213" t="s">
        <v>214</v>
      </c>
      <c r="O20" s="210">
        <v>2</v>
      </c>
      <c r="P20" s="2" t="s">
        <v>195</v>
      </c>
      <c r="U20" s="551"/>
      <c r="V20" s="213" t="s">
        <v>212</v>
      </c>
      <c r="W20" s="213" t="s">
        <v>215</v>
      </c>
      <c r="X20" s="551"/>
      <c r="Y20" s="213" t="s">
        <v>212</v>
      </c>
      <c r="Z20" s="213" t="s">
        <v>215</v>
      </c>
    </row>
    <row r="21" spans="2:26" x14ac:dyDescent="0.5">
      <c r="B21" s="2" t="s">
        <v>211</v>
      </c>
      <c r="O21" s="210">
        <v>3</v>
      </c>
      <c r="P21" s="2" t="s">
        <v>196</v>
      </c>
      <c r="U21" s="212" t="s">
        <v>219</v>
      </c>
      <c r="V21" s="213">
        <v>0.113</v>
      </c>
      <c r="W21" s="213">
        <v>0.10199999999999999</v>
      </c>
      <c r="X21" s="213" t="s">
        <v>228</v>
      </c>
      <c r="Y21" s="212">
        <v>0.876</v>
      </c>
      <c r="Z21" s="212">
        <v>0.253</v>
      </c>
    </row>
    <row r="22" spans="2:26" x14ac:dyDescent="0.5">
      <c r="B22" s="2" t="s">
        <v>241</v>
      </c>
      <c r="O22" s="210">
        <v>4</v>
      </c>
      <c r="P22" s="2" t="s">
        <v>199</v>
      </c>
      <c r="U22" s="212" t="s">
        <v>220</v>
      </c>
      <c r="V22" s="213">
        <v>0.11</v>
      </c>
      <c r="W22" s="213">
        <v>0.108</v>
      </c>
      <c r="X22" s="213" t="s">
        <v>229</v>
      </c>
      <c r="Y22" s="212">
        <v>0.68899999999999995</v>
      </c>
      <c r="Z22" s="212">
        <v>0.19900000000000001</v>
      </c>
    </row>
    <row r="23" spans="2:26" x14ac:dyDescent="0.5">
      <c r="B23" s="218"/>
      <c r="C23" s="527"/>
      <c r="D23" s="527"/>
      <c r="E23" s="527"/>
      <c r="F23" s="216" t="s">
        <v>212</v>
      </c>
      <c r="G23" s="235">
        <f>+E20</f>
        <v>0.158</v>
      </c>
      <c r="H23" s="211" t="s">
        <v>215</v>
      </c>
      <c r="I23" s="235">
        <f>+C20</f>
        <v>0.126</v>
      </c>
      <c r="O23" s="210">
        <v>5</v>
      </c>
      <c r="P23" s="2" t="s">
        <v>197</v>
      </c>
      <c r="U23" s="212" t="s">
        <v>221</v>
      </c>
      <c r="V23" s="213">
        <v>0.105</v>
      </c>
      <c r="W23" s="213">
        <v>9.7000000000000003E-2</v>
      </c>
      <c r="X23" s="213" t="s">
        <v>230</v>
      </c>
      <c r="Y23" s="212">
        <v>0.82599999999999996</v>
      </c>
      <c r="Z23" s="212">
        <v>0.23799999999999999</v>
      </c>
    </row>
    <row r="24" spans="2:26" x14ac:dyDescent="0.5">
      <c r="B24" s="521" t="s">
        <v>242</v>
      </c>
      <c r="C24" s="422"/>
      <c r="D24" s="422"/>
      <c r="E24" s="422"/>
      <c r="F24" s="422"/>
      <c r="G24" s="422"/>
      <c r="H24" s="422"/>
      <c r="I24" s="422"/>
      <c r="J24" s="422"/>
      <c r="K24" s="424"/>
      <c r="O24" s="210">
        <v>6</v>
      </c>
      <c r="P24" s="2" t="s">
        <v>200</v>
      </c>
      <c r="U24" s="212" t="s">
        <v>222</v>
      </c>
      <c r="V24" s="213">
        <v>9.9000000000000005E-2</v>
      </c>
      <c r="W24" s="213">
        <v>9.9000000000000005E-2</v>
      </c>
      <c r="X24" s="213" t="s">
        <v>231</v>
      </c>
      <c r="Y24" s="212">
        <v>0.47499999999999998</v>
      </c>
      <c r="Z24" s="212">
        <v>0.13800000000000001</v>
      </c>
    </row>
    <row r="25" spans="2:26" x14ac:dyDescent="0.5">
      <c r="B25" s="365" t="s">
        <v>256</v>
      </c>
      <c r="C25" s="520"/>
      <c r="D25" s="520"/>
      <c r="E25" s="520"/>
      <c r="F25" s="520"/>
      <c r="G25" s="366"/>
      <c r="O25" s="210">
        <v>7</v>
      </c>
      <c r="P25" s="2" t="s">
        <v>201</v>
      </c>
      <c r="U25" s="212" t="s">
        <v>223</v>
      </c>
      <c r="V25" s="213">
        <v>0.11</v>
      </c>
      <c r="W25" s="213">
        <v>0.1</v>
      </c>
      <c r="X25" s="213" t="s">
        <v>232</v>
      </c>
      <c r="Y25" s="212">
        <v>0.69799999999999995</v>
      </c>
      <c r="Z25" s="212">
        <v>0.20200000000000001</v>
      </c>
    </row>
    <row r="26" spans="2:26" ht="23.25" customHeight="1" x14ac:dyDescent="0.5">
      <c r="B26" s="528" t="s">
        <v>243</v>
      </c>
      <c r="C26" s="365" t="s">
        <v>255</v>
      </c>
      <c r="D26" s="520"/>
      <c r="E26" s="520"/>
      <c r="F26" s="520"/>
      <c r="G26" s="366"/>
      <c r="H26" s="530" t="s">
        <v>276</v>
      </c>
      <c r="I26" s="531"/>
      <c r="J26" s="531"/>
      <c r="K26" s="532"/>
      <c r="O26" s="210">
        <v>8</v>
      </c>
      <c r="P26" s="2" t="s">
        <v>260</v>
      </c>
      <c r="U26" s="212" t="s">
        <v>224</v>
      </c>
      <c r="V26" s="213">
        <v>0.123</v>
      </c>
      <c r="W26" s="213">
        <v>0.105</v>
      </c>
      <c r="X26" s="213" t="s">
        <v>233</v>
      </c>
      <c r="Y26" s="212">
        <v>0.59299999999999997</v>
      </c>
      <c r="Z26" s="212">
        <v>0.17199999999999999</v>
      </c>
    </row>
    <row r="27" spans="2:26" ht="24" customHeight="1" x14ac:dyDescent="0.5">
      <c r="B27" s="529"/>
      <c r="C27" s="213" t="s">
        <v>250</v>
      </c>
      <c r="D27" s="213" t="s">
        <v>251</v>
      </c>
      <c r="E27" s="213" t="s">
        <v>252</v>
      </c>
      <c r="F27" s="213" t="s">
        <v>253</v>
      </c>
      <c r="G27" s="213" t="s">
        <v>254</v>
      </c>
      <c r="H27" s="533"/>
      <c r="I27" s="534"/>
      <c r="J27" s="534"/>
      <c r="K27" s="535"/>
      <c r="U27" s="212" t="s">
        <v>225</v>
      </c>
      <c r="V27" s="213">
        <v>8.8999999999999996E-2</v>
      </c>
      <c r="W27" s="213">
        <v>9.1999999999999998E-2</v>
      </c>
      <c r="X27" s="213" t="s">
        <v>234</v>
      </c>
      <c r="Y27" s="212">
        <v>0.42899999999999999</v>
      </c>
      <c r="Z27" s="212">
        <v>0.127</v>
      </c>
    </row>
    <row r="28" spans="2:26" x14ac:dyDescent="0.5">
      <c r="B28" s="212" t="s">
        <v>244</v>
      </c>
      <c r="C28" s="212">
        <v>0.8</v>
      </c>
      <c r="D28" s="212">
        <v>0.8</v>
      </c>
      <c r="E28" s="212">
        <v>0.8</v>
      </c>
      <c r="F28" s="212">
        <v>0.8</v>
      </c>
      <c r="G28" s="212">
        <v>0.8</v>
      </c>
      <c r="H28" s="528" t="s">
        <v>257</v>
      </c>
      <c r="I28" s="536">
        <v>1.1499999999999999</v>
      </c>
      <c r="J28" s="528" t="s">
        <v>212</v>
      </c>
      <c r="K28" s="528">
        <f>+G23</f>
        <v>0.158</v>
      </c>
      <c r="U28" s="212" t="s">
        <v>226</v>
      </c>
      <c r="V28" s="213">
        <v>0.16</v>
      </c>
      <c r="W28" s="213">
        <v>0.113</v>
      </c>
      <c r="X28" s="213" t="s">
        <v>235</v>
      </c>
      <c r="Y28" s="212">
        <v>0.70399999999999996</v>
      </c>
      <c r="Z28" s="212">
        <v>0.20499999999999999</v>
      </c>
    </row>
    <row r="29" spans="2:26" x14ac:dyDescent="0.5">
      <c r="B29" s="212" t="s">
        <v>245</v>
      </c>
      <c r="C29" s="212">
        <v>1</v>
      </c>
      <c r="D29" s="212">
        <v>1</v>
      </c>
      <c r="E29" s="212">
        <v>1</v>
      </c>
      <c r="F29" s="212">
        <v>1</v>
      </c>
      <c r="G29" s="212">
        <v>1</v>
      </c>
      <c r="H29" s="529"/>
      <c r="I29" s="537"/>
      <c r="J29" s="529"/>
      <c r="K29" s="529"/>
      <c r="U29" s="212" t="s">
        <v>217</v>
      </c>
      <c r="V29" s="213">
        <f>+MAX(V21:V28)</f>
        <v>0.16</v>
      </c>
      <c r="W29" s="213">
        <f>+MAX(W21:W28)</f>
        <v>0.113</v>
      </c>
      <c r="X29" s="213" t="s">
        <v>236</v>
      </c>
      <c r="Y29" s="212">
        <v>0.435</v>
      </c>
      <c r="Z29" s="212">
        <v>0.128</v>
      </c>
    </row>
    <row r="30" spans="2:26" ht="23.25" customHeight="1" x14ac:dyDescent="0.5">
      <c r="B30" s="212" t="s">
        <v>246</v>
      </c>
      <c r="C30" s="212">
        <v>1.2</v>
      </c>
      <c r="D30" s="212">
        <v>1.2</v>
      </c>
      <c r="E30" s="212">
        <v>1.1000000000000001</v>
      </c>
      <c r="F30" s="212">
        <v>1</v>
      </c>
      <c r="G30" s="212">
        <v>1</v>
      </c>
      <c r="H30" s="541">
        <f>0.666666666666667*I28*G23</f>
        <v>0.12113333333333333</v>
      </c>
      <c r="I30" s="542"/>
      <c r="J30" s="542"/>
      <c r="K30" s="543"/>
      <c r="X30" s="213" t="s">
        <v>237</v>
      </c>
      <c r="Y30" s="212">
        <v>0.67300000000000004</v>
      </c>
      <c r="Z30" s="212">
        <v>0.19500000000000001</v>
      </c>
    </row>
    <row r="31" spans="2:26" ht="23.25" customHeight="1" x14ac:dyDescent="0.5">
      <c r="B31" s="212" t="s">
        <v>247</v>
      </c>
      <c r="C31" s="212">
        <v>1.6</v>
      </c>
      <c r="D31" s="212">
        <v>1.4</v>
      </c>
      <c r="E31" s="212">
        <v>1.2</v>
      </c>
      <c r="F31" s="212">
        <v>1.1000000000000001</v>
      </c>
      <c r="G31" s="212">
        <v>1</v>
      </c>
      <c r="H31" s="526" t="s">
        <v>275</v>
      </c>
      <c r="I31" s="527"/>
      <c r="J31" s="527"/>
      <c r="K31" s="527"/>
      <c r="X31" s="213" t="s">
        <v>238</v>
      </c>
      <c r="Y31" s="212">
        <v>0.77700000000000002</v>
      </c>
      <c r="Z31" s="212">
        <v>0.23300000000000001</v>
      </c>
    </row>
    <row r="32" spans="2:26" x14ac:dyDescent="0.5">
      <c r="B32" s="212" t="s">
        <v>248</v>
      </c>
      <c r="C32" s="212">
        <v>2.5</v>
      </c>
      <c r="D32" s="212">
        <v>1.7</v>
      </c>
      <c r="E32" s="212">
        <v>1.2</v>
      </c>
      <c r="F32" s="212">
        <v>0.9</v>
      </c>
      <c r="G32" s="212">
        <v>0.9</v>
      </c>
      <c r="H32" s="514" t="s">
        <v>259</v>
      </c>
      <c r="I32" s="515"/>
      <c r="J32" s="515"/>
      <c r="K32" s="516"/>
      <c r="X32" s="213" t="s">
        <v>239</v>
      </c>
      <c r="Y32" s="212">
        <v>0.59499999999999997</v>
      </c>
      <c r="Z32" s="212">
        <v>0.17100000000000001</v>
      </c>
    </row>
    <row r="33" spans="2:26" x14ac:dyDescent="0.5">
      <c r="B33" s="212" t="s">
        <v>249</v>
      </c>
      <c r="C33" s="365" t="s">
        <v>258</v>
      </c>
      <c r="D33" s="520"/>
      <c r="E33" s="520"/>
      <c r="F33" s="520"/>
      <c r="G33" s="366"/>
      <c r="H33" s="517"/>
      <c r="I33" s="518"/>
      <c r="J33" s="518"/>
      <c r="K33" s="519"/>
      <c r="X33" s="213" t="s">
        <v>240</v>
      </c>
      <c r="Y33" s="212">
        <v>0.49099999999999999</v>
      </c>
      <c r="Z33" s="212">
        <v>0.14399999999999999</v>
      </c>
    </row>
    <row r="34" spans="2:26" x14ac:dyDescent="0.5">
      <c r="B34" s="365" t="s">
        <v>261</v>
      </c>
      <c r="C34" s="520"/>
      <c r="D34" s="520"/>
      <c r="E34" s="520"/>
      <c r="F34" s="520"/>
      <c r="G34" s="366"/>
      <c r="X34" s="213" t="s">
        <v>217</v>
      </c>
      <c r="Y34" s="212">
        <f>+MAX(Y21:Y33)</f>
        <v>0.876</v>
      </c>
      <c r="Z34" s="212">
        <f>+MAX(Z21:Z33)</f>
        <v>0.253</v>
      </c>
    </row>
    <row r="35" spans="2:26" ht="23.25" customHeight="1" x14ac:dyDescent="0.5">
      <c r="B35" s="528" t="s">
        <v>243</v>
      </c>
      <c r="C35" s="365" t="s">
        <v>255</v>
      </c>
      <c r="D35" s="520"/>
      <c r="E35" s="520"/>
      <c r="F35" s="520"/>
      <c r="G35" s="366"/>
      <c r="H35" s="530" t="s">
        <v>277</v>
      </c>
      <c r="I35" s="531"/>
      <c r="J35" s="531"/>
      <c r="K35" s="532"/>
      <c r="X35" s="217"/>
      <c r="Y35" s="217"/>
      <c r="Z35" s="217"/>
    </row>
    <row r="36" spans="2:26" ht="24" customHeight="1" x14ac:dyDescent="0.5">
      <c r="B36" s="529"/>
      <c r="C36" s="213" t="s">
        <v>262</v>
      </c>
      <c r="D36" s="213" t="s">
        <v>263</v>
      </c>
      <c r="E36" s="213" t="s">
        <v>264</v>
      </c>
      <c r="F36" s="213" t="s">
        <v>265</v>
      </c>
      <c r="G36" s="213" t="s">
        <v>266</v>
      </c>
      <c r="H36" s="533"/>
      <c r="I36" s="534"/>
      <c r="J36" s="534"/>
      <c r="K36" s="535"/>
      <c r="X36" s="217"/>
      <c r="Y36" s="217"/>
      <c r="Z36" s="217"/>
    </row>
    <row r="37" spans="2:26" x14ac:dyDescent="0.5">
      <c r="B37" s="212" t="s">
        <v>244</v>
      </c>
      <c r="C37" s="212">
        <v>0.8</v>
      </c>
      <c r="D37" s="212">
        <v>0.8</v>
      </c>
      <c r="E37" s="212">
        <v>0.8</v>
      </c>
      <c r="F37" s="212">
        <v>0.8</v>
      </c>
      <c r="G37" s="212">
        <v>0.8</v>
      </c>
      <c r="H37" s="528" t="s">
        <v>257</v>
      </c>
      <c r="I37" s="536">
        <v>1.9</v>
      </c>
      <c r="J37" s="528" t="s">
        <v>212</v>
      </c>
      <c r="K37" s="528">
        <f>+I23</f>
        <v>0.126</v>
      </c>
      <c r="X37" s="217"/>
      <c r="Y37" s="217"/>
      <c r="Z37" s="217"/>
    </row>
    <row r="38" spans="2:26" x14ac:dyDescent="0.5">
      <c r="B38" s="212" t="s">
        <v>245</v>
      </c>
      <c r="C38" s="212">
        <v>1</v>
      </c>
      <c r="D38" s="212">
        <v>1</v>
      </c>
      <c r="E38" s="212">
        <v>1</v>
      </c>
      <c r="F38" s="212">
        <v>1</v>
      </c>
      <c r="G38" s="212">
        <v>1</v>
      </c>
      <c r="H38" s="529"/>
      <c r="I38" s="537"/>
      <c r="J38" s="529"/>
      <c r="K38" s="529"/>
      <c r="X38" s="217"/>
      <c r="Y38" s="217"/>
      <c r="Z38" s="217"/>
    </row>
    <row r="39" spans="2:26" ht="23.25" customHeight="1" x14ac:dyDescent="0.5">
      <c r="B39" s="212" t="s">
        <v>246</v>
      </c>
      <c r="C39" s="212">
        <v>1.7</v>
      </c>
      <c r="D39" s="212">
        <v>1.6</v>
      </c>
      <c r="E39" s="212">
        <v>1.5</v>
      </c>
      <c r="F39" s="212">
        <v>1.4</v>
      </c>
      <c r="G39" s="212">
        <v>1.3</v>
      </c>
      <c r="H39" s="538">
        <f>2/3*I37*K37</f>
        <v>0.15959999999999999</v>
      </c>
      <c r="I39" s="539"/>
      <c r="J39" s="539"/>
      <c r="K39" s="540"/>
    </row>
    <row r="40" spans="2:26" ht="23.25" customHeight="1" x14ac:dyDescent="0.5">
      <c r="B40" s="212" t="s">
        <v>247</v>
      </c>
      <c r="C40" s="212">
        <v>2.4</v>
      </c>
      <c r="D40" s="212">
        <v>2</v>
      </c>
      <c r="E40" s="212">
        <v>1.8</v>
      </c>
      <c r="F40" s="212">
        <v>1.6</v>
      </c>
      <c r="G40" s="212">
        <v>1.5</v>
      </c>
      <c r="H40" s="526" t="s">
        <v>275</v>
      </c>
      <c r="I40" s="527"/>
      <c r="J40" s="527"/>
      <c r="K40" s="527"/>
    </row>
    <row r="41" spans="2:26" x14ac:dyDescent="0.5">
      <c r="B41" s="212" t="s">
        <v>248</v>
      </c>
      <c r="C41" s="212">
        <v>3.5</v>
      </c>
      <c r="D41" s="212">
        <v>3.2</v>
      </c>
      <c r="E41" s="212">
        <v>2.8</v>
      </c>
      <c r="F41" s="212">
        <v>2.4</v>
      </c>
      <c r="G41" s="212">
        <v>2.4</v>
      </c>
      <c r="H41" s="514" t="s">
        <v>259</v>
      </c>
      <c r="I41" s="515"/>
      <c r="J41" s="515"/>
      <c r="K41" s="516"/>
    </row>
    <row r="42" spans="2:26" x14ac:dyDescent="0.5">
      <c r="B42" s="212" t="s">
        <v>249</v>
      </c>
      <c r="C42" s="365" t="s">
        <v>258</v>
      </c>
      <c r="D42" s="520"/>
      <c r="E42" s="520"/>
      <c r="F42" s="520"/>
      <c r="G42" s="366"/>
      <c r="H42" s="517"/>
      <c r="I42" s="518"/>
      <c r="J42" s="518"/>
      <c r="K42" s="519"/>
    </row>
    <row r="43" spans="2:26" x14ac:dyDescent="0.5">
      <c r="B43" s="521" t="s">
        <v>267</v>
      </c>
      <c r="C43" s="422"/>
      <c r="D43" s="422"/>
      <c r="E43" s="422"/>
      <c r="F43" s="422"/>
      <c r="G43" s="422"/>
      <c r="H43" s="422"/>
      <c r="I43" s="422"/>
      <c r="J43" s="422"/>
      <c r="K43" s="424"/>
    </row>
    <row r="44" spans="2:26" x14ac:dyDescent="0.5">
      <c r="B44" s="522">
        <v>1</v>
      </c>
      <c r="C44" s="522"/>
      <c r="D44" s="446" t="str">
        <f>+IF(B44=1,"อาคารชั่วคราว,อาคารเก็บของเล็กๆ(ที่ไม่มีผู้พักอาศัย)",IF(B44=2,"อาคารและโครงสร้างอื่นๆที่มีความสำคัญไม่มากนัก อาทิ บ้านพักอาศัย",IF(B44=3,"อาคารที่เป็นที่ชุมนุม มากกว่า 300 คน,โรงเรียน,หอพัก,คอนโดมิเนียม",IF(B44=4,"อาคารสาธารณะ อาทิ หน่วยงานราชการ,โรงพยาบาล,สถานีตำรวจ,หอประชุม"))))</f>
        <v>อาคารชั่วคราว,อาคารเก็บของเล็กๆ(ที่ไม่มีผู้พักอาศัย)</v>
      </c>
      <c r="E44" s="446"/>
      <c r="F44" s="446"/>
      <c r="G44" s="446"/>
      <c r="H44" s="446"/>
      <c r="I44" s="446"/>
      <c r="J44" s="446"/>
      <c r="N44" s="222">
        <v>1</v>
      </c>
      <c r="O44" s="2" t="s">
        <v>268</v>
      </c>
    </row>
    <row r="45" spans="2:26" x14ac:dyDescent="0.5">
      <c r="B45" s="523" t="s">
        <v>273</v>
      </c>
      <c r="C45" s="523"/>
      <c r="D45" s="524" t="str">
        <f>+IF(B44=1,"I(น้อย)",IF(B44=2,"II(ปกติ)",IF(B44=3,"III(มาก)",IF(B44=4,"IV(สูงมาก)"))))</f>
        <v>I(น้อย)</v>
      </c>
      <c r="E45" s="523" t="s">
        <v>274</v>
      </c>
      <c r="F45" s="523"/>
      <c r="G45" s="524">
        <f>+IF(B44=1,1,IF(B44=2,1,IF(B44=3,1.25,IF(B44=4,1.5))))</f>
        <v>1</v>
      </c>
      <c r="H45" s="525" t="s">
        <v>278</v>
      </c>
      <c r="I45" s="525"/>
      <c r="J45" s="525"/>
      <c r="K45" s="525"/>
      <c r="N45" s="222">
        <v>2</v>
      </c>
      <c r="O45" s="2" t="s">
        <v>271</v>
      </c>
    </row>
    <row r="46" spans="2:26" ht="24" x14ac:dyDescent="0.5">
      <c r="B46" s="523"/>
      <c r="C46" s="523"/>
      <c r="D46" s="524"/>
      <c r="E46" s="523"/>
      <c r="F46" s="523"/>
      <c r="G46" s="524"/>
      <c r="H46" s="211" t="s">
        <v>279</v>
      </c>
      <c r="I46" s="211" t="s">
        <v>281</v>
      </c>
      <c r="J46" s="211" t="s">
        <v>280</v>
      </c>
      <c r="N46" s="222">
        <v>3</v>
      </c>
      <c r="O46" s="2" t="s">
        <v>269</v>
      </c>
    </row>
    <row r="47" spans="2:26" x14ac:dyDescent="0.5">
      <c r="H47" s="220">
        <v>8</v>
      </c>
      <c r="I47" s="220">
        <v>3</v>
      </c>
      <c r="J47" s="220">
        <v>5.5</v>
      </c>
      <c r="N47" s="222">
        <v>4</v>
      </c>
      <c r="O47" s="2" t="s">
        <v>272</v>
      </c>
    </row>
    <row r="48" spans="2:26" x14ac:dyDescent="0.5">
      <c r="B48" s="2" t="s">
        <v>285</v>
      </c>
      <c r="C48" s="211">
        <f>ROUND(H39/H30,3)</f>
        <v>1.3180000000000001</v>
      </c>
      <c r="D48" s="211" t="s">
        <v>283</v>
      </c>
      <c r="M48" s="2">
        <v>2</v>
      </c>
    </row>
    <row r="49" spans="2:13" x14ac:dyDescent="0.5">
      <c r="B49" s="2" t="s">
        <v>282</v>
      </c>
      <c r="D49" s="211">
        <f>0.02*D5</f>
        <v>0.12</v>
      </c>
      <c r="E49" s="2" t="s">
        <v>284</v>
      </c>
      <c r="M49" s="2">
        <v>3</v>
      </c>
    </row>
    <row r="50" spans="2:13" x14ac:dyDescent="0.5">
      <c r="M50" s="2">
        <v>4</v>
      </c>
    </row>
    <row r="51" spans="2:13" x14ac:dyDescent="0.5">
      <c r="M51" s="2">
        <v>5</v>
      </c>
    </row>
    <row r="52" spans="2:13" x14ac:dyDescent="0.5">
      <c r="M52" s="2">
        <v>6</v>
      </c>
    </row>
    <row r="53" spans="2:13" x14ac:dyDescent="0.5">
      <c r="M53" s="2">
        <v>7</v>
      </c>
    </row>
  </sheetData>
  <mergeCells count="53">
    <mergeCell ref="A1:A6"/>
    <mergeCell ref="B1:K1"/>
    <mergeCell ref="B2:K2"/>
    <mergeCell ref="A7:A15"/>
    <mergeCell ref="B7:K7"/>
    <mergeCell ref="B15:C15"/>
    <mergeCell ref="D15:E15"/>
    <mergeCell ref="F15:G15"/>
    <mergeCell ref="H15:I15"/>
    <mergeCell ref="B19:B20"/>
    <mergeCell ref="U19:U20"/>
    <mergeCell ref="V19:W19"/>
    <mergeCell ref="X19:X20"/>
    <mergeCell ref="Y19:Z19"/>
    <mergeCell ref="B16:K16"/>
    <mergeCell ref="B17:B18"/>
    <mergeCell ref="C17:J18"/>
    <mergeCell ref="V18:W18"/>
    <mergeCell ref="Y18:Z18"/>
    <mergeCell ref="H31:K31"/>
    <mergeCell ref="C23:E23"/>
    <mergeCell ref="B24:K24"/>
    <mergeCell ref="B25:G25"/>
    <mergeCell ref="B26:B27"/>
    <mergeCell ref="C26:G26"/>
    <mergeCell ref="H26:K27"/>
    <mergeCell ref="H28:H29"/>
    <mergeCell ref="I28:I29"/>
    <mergeCell ref="J28:J29"/>
    <mergeCell ref="K28:K29"/>
    <mergeCell ref="H30:K30"/>
    <mergeCell ref="H40:K40"/>
    <mergeCell ref="H32:K33"/>
    <mergeCell ref="C33:G33"/>
    <mergeCell ref="B34:G34"/>
    <mergeCell ref="B35:B36"/>
    <mergeCell ref="C35:G35"/>
    <mergeCell ref="H35:K36"/>
    <mergeCell ref="H37:H38"/>
    <mergeCell ref="I37:I38"/>
    <mergeCell ref="J37:J38"/>
    <mergeCell ref="K37:K38"/>
    <mergeCell ref="H39:K39"/>
    <mergeCell ref="B45:C46"/>
    <mergeCell ref="D45:D46"/>
    <mergeCell ref="E45:F46"/>
    <mergeCell ref="G45:G46"/>
    <mergeCell ref="H45:K45"/>
    <mergeCell ref="H41:K42"/>
    <mergeCell ref="C42:G42"/>
    <mergeCell ref="B43:K43"/>
    <mergeCell ref="B44:C44"/>
    <mergeCell ref="D44:J44"/>
  </mergeCells>
  <dataValidations count="2">
    <dataValidation type="list" allowBlank="1" showInputMessage="1" showErrorMessage="1" sqref="B44">
      <formula1>$N$44:$N$47</formula1>
    </dataValidation>
    <dataValidation type="list" allowBlank="1" showInputMessage="1" showErrorMessage="1" sqref="B17:B18">
      <formula1>$O$19:$O$26</formula1>
    </dataValidation>
  </dataValidations>
  <pageMargins left="0.7" right="0.7" top="0.75" bottom="0.75" header="0.3" footer="0.3"/>
  <pageSetup paperSize="9" scale="68" orientation="portrait" horizontalDpi="4294967293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193"/>
  <sheetViews>
    <sheetView view="pageBreakPreview" topLeftCell="A183" zoomScale="55" zoomScaleNormal="40" zoomScaleSheetLayoutView="55" workbookViewId="0">
      <selection activeCell="I192" sqref="I192"/>
    </sheetView>
  </sheetViews>
  <sheetFormatPr defaultRowHeight="23.25" x14ac:dyDescent="0.5"/>
  <cols>
    <col min="2" max="2" width="20.28515625" customWidth="1"/>
    <col min="9" max="9" width="11" customWidth="1"/>
    <col min="13" max="13" width="19.140625" customWidth="1"/>
  </cols>
  <sheetData>
    <row r="3" spans="1:21" x14ac:dyDescent="0.5">
      <c r="A3" s="350" t="s">
        <v>22</v>
      </c>
      <c r="B3" s="342" t="s">
        <v>423</v>
      </c>
      <c r="C3" s="343" t="s">
        <v>424</v>
      </c>
      <c r="D3" s="343" t="s">
        <v>425</v>
      </c>
      <c r="E3" s="343" t="s">
        <v>426</v>
      </c>
      <c r="F3" s="343" t="s">
        <v>427</v>
      </c>
      <c r="G3" s="343" t="s">
        <v>429</v>
      </c>
      <c r="H3" s="343" t="s">
        <v>430</v>
      </c>
      <c r="I3" s="345"/>
      <c r="J3" s="345"/>
      <c r="L3" s="350" t="s">
        <v>22</v>
      </c>
      <c r="M3" s="342" t="s">
        <v>423</v>
      </c>
      <c r="N3" s="343" t="s">
        <v>424</v>
      </c>
      <c r="O3" s="343" t="s">
        <v>425</v>
      </c>
      <c r="P3" s="343" t="s">
        <v>426</v>
      </c>
      <c r="Q3" s="343" t="s">
        <v>427</v>
      </c>
      <c r="R3" s="343" t="s">
        <v>429</v>
      </c>
      <c r="S3" s="343" t="s">
        <v>430</v>
      </c>
      <c r="T3" s="345"/>
      <c r="U3" s="345"/>
    </row>
    <row r="4" spans="1:21" x14ac:dyDescent="0.5">
      <c r="A4" s="528">
        <v>1</v>
      </c>
      <c r="B4" s="212" t="s">
        <v>457</v>
      </c>
      <c r="C4" s="343">
        <v>0.2</v>
      </c>
      <c r="D4" s="343">
        <v>0.2</v>
      </c>
      <c r="E4" s="343">
        <v>0.2</v>
      </c>
      <c r="F4" s="343">
        <v>0.25</v>
      </c>
      <c r="G4" s="343">
        <v>0.25</v>
      </c>
      <c r="H4" s="343">
        <v>0.25</v>
      </c>
      <c r="I4" s="346"/>
      <c r="J4" s="346"/>
      <c r="L4" s="528">
        <v>2</v>
      </c>
      <c r="M4" s="212" t="s">
        <v>457</v>
      </c>
      <c r="N4" s="343">
        <v>0.2</v>
      </c>
      <c r="O4" s="343">
        <v>0.2</v>
      </c>
      <c r="P4" s="343">
        <v>0.2</v>
      </c>
      <c r="Q4" s="343">
        <v>0.25</v>
      </c>
      <c r="R4" s="343">
        <v>0.25</v>
      </c>
      <c r="S4" s="343">
        <v>0.25</v>
      </c>
      <c r="T4" s="346"/>
      <c r="U4" s="346"/>
    </row>
    <row r="5" spans="1:21" x14ac:dyDescent="0.5">
      <c r="A5" s="552"/>
      <c r="B5" s="212" t="s">
        <v>458</v>
      </c>
      <c r="C5" s="343">
        <v>0.3</v>
      </c>
      <c r="D5" s="343">
        <v>0.35</v>
      </c>
      <c r="E5" s="343">
        <v>0.4</v>
      </c>
      <c r="F5" s="343">
        <v>0.4</v>
      </c>
      <c r="G5" s="343">
        <v>0.45</v>
      </c>
      <c r="H5" s="343">
        <v>0.5</v>
      </c>
      <c r="I5" s="346"/>
      <c r="J5" s="346"/>
      <c r="L5" s="552"/>
      <c r="M5" s="212" t="s">
        <v>458</v>
      </c>
      <c r="N5" s="343">
        <v>0.3</v>
      </c>
      <c r="O5" s="343">
        <v>0.35</v>
      </c>
      <c r="P5" s="343">
        <v>0.4</v>
      </c>
      <c r="Q5" s="343">
        <v>0.4</v>
      </c>
      <c r="R5" s="343">
        <v>0.45</v>
      </c>
      <c r="S5" s="343">
        <v>0.5</v>
      </c>
      <c r="T5" s="346"/>
      <c r="U5" s="346"/>
    </row>
    <row r="6" spans="1:21" x14ac:dyDescent="0.5">
      <c r="A6" s="529"/>
      <c r="B6" s="212" t="s">
        <v>459</v>
      </c>
      <c r="C6" s="343">
        <v>6</v>
      </c>
      <c r="D6" s="343">
        <v>4</v>
      </c>
      <c r="E6" s="343">
        <v>12</v>
      </c>
      <c r="F6" s="343">
        <v>16</v>
      </c>
      <c r="G6" s="343">
        <v>20</v>
      </c>
      <c r="H6" s="343">
        <v>20</v>
      </c>
      <c r="I6" s="347">
        <f>+SUM(C6:H6)</f>
        <v>78</v>
      </c>
      <c r="J6" s="346" t="s">
        <v>16</v>
      </c>
      <c r="L6" s="529"/>
      <c r="M6" s="212" t="s">
        <v>459</v>
      </c>
      <c r="N6" s="343">
        <v>6</v>
      </c>
      <c r="O6" s="343">
        <v>4</v>
      </c>
      <c r="P6" s="343">
        <v>12</v>
      </c>
      <c r="Q6" s="343">
        <v>16</v>
      </c>
      <c r="R6" s="343">
        <v>20</v>
      </c>
      <c r="S6" s="343">
        <v>20</v>
      </c>
      <c r="T6" s="347">
        <f>+SUM(N6:S6)</f>
        <v>78</v>
      </c>
      <c r="U6" s="346" t="s">
        <v>16</v>
      </c>
    </row>
    <row r="7" spans="1:21" x14ac:dyDescent="0.5">
      <c r="A7" s="215" t="s">
        <v>83</v>
      </c>
      <c r="B7" s="212" t="s">
        <v>431</v>
      </c>
      <c r="C7" s="213">
        <f t="shared" ref="C7:H7" si="0">+C4*C5*C6*2400</f>
        <v>864</v>
      </c>
      <c r="D7" s="213">
        <f t="shared" si="0"/>
        <v>671.99999999999989</v>
      </c>
      <c r="E7" s="213">
        <f t="shared" si="0"/>
        <v>2304.0000000000005</v>
      </c>
      <c r="F7" s="213">
        <f t="shared" si="0"/>
        <v>3840</v>
      </c>
      <c r="G7" s="213">
        <f t="shared" si="0"/>
        <v>5400</v>
      </c>
      <c r="H7" s="213">
        <f t="shared" si="0"/>
        <v>6000</v>
      </c>
      <c r="I7" s="348">
        <f>+SUM(C7:H7)</f>
        <v>19080</v>
      </c>
      <c r="J7" s="237" t="s">
        <v>439</v>
      </c>
      <c r="L7" s="215" t="s">
        <v>83</v>
      </c>
      <c r="M7" s="212" t="s">
        <v>431</v>
      </c>
      <c r="N7" s="213">
        <f t="shared" ref="N7:S7" si="1">+N4*N5*N6*2400</f>
        <v>864</v>
      </c>
      <c r="O7" s="213">
        <f t="shared" si="1"/>
        <v>671.99999999999989</v>
      </c>
      <c r="P7" s="213">
        <f t="shared" si="1"/>
        <v>2304.0000000000005</v>
      </c>
      <c r="Q7" s="213">
        <f t="shared" si="1"/>
        <v>3840</v>
      </c>
      <c r="R7" s="213">
        <f t="shared" si="1"/>
        <v>5400</v>
      </c>
      <c r="S7" s="213">
        <f t="shared" si="1"/>
        <v>6000</v>
      </c>
      <c r="T7" s="348">
        <f>+SUM(N7:S7)</f>
        <v>19080</v>
      </c>
      <c r="U7" s="237" t="s">
        <v>439</v>
      </c>
    </row>
    <row r="8" spans="1:21" x14ac:dyDescent="0.5">
      <c r="A8" s="350" t="s">
        <v>22</v>
      </c>
      <c r="B8" s="342" t="s">
        <v>463</v>
      </c>
      <c r="C8" s="343" t="s">
        <v>432</v>
      </c>
      <c r="D8" s="343" t="s">
        <v>433</v>
      </c>
      <c r="E8" s="343" t="s">
        <v>434</v>
      </c>
      <c r="F8" s="343" t="s">
        <v>435</v>
      </c>
      <c r="G8" s="343" t="s">
        <v>436</v>
      </c>
      <c r="H8" s="343" t="s">
        <v>437</v>
      </c>
      <c r="I8" s="349"/>
      <c r="J8" s="349"/>
      <c r="L8" s="350" t="s">
        <v>22</v>
      </c>
      <c r="M8" s="342" t="s">
        <v>463</v>
      </c>
      <c r="N8" s="343" t="s">
        <v>432</v>
      </c>
      <c r="O8" s="343" t="s">
        <v>433</v>
      </c>
      <c r="P8" s="343" t="s">
        <v>434</v>
      </c>
      <c r="Q8" s="343" t="s">
        <v>435</v>
      </c>
      <c r="R8" s="343" t="s">
        <v>436</v>
      </c>
      <c r="S8" s="343" t="s">
        <v>437</v>
      </c>
      <c r="T8" s="349"/>
      <c r="U8" s="349"/>
    </row>
    <row r="9" spans="1:21" x14ac:dyDescent="0.5">
      <c r="A9" s="528">
        <v>1</v>
      </c>
      <c r="B9" s="212" t="s">
        <v>421</v>
      </c>
      <c r="C9" s="343">
        <v>0.2</v>
      </c>
      <c r="D9" s="343">
        <v>0.2</v>
      </c>
      <c r="E9" s="343">
        <v>0.2</v>
      </c>
      <c r="F9" s="343">
        <v>0.4</v>
      </c>
      <c r="G9" s="343">
        <v>0.25</v>
      </c>
      <c r="H9" s="343">
        <v>0.5</v>
      </c>
      <c r="I9" s="346"/>
      <c r="J9" s="346"/>
      <c r="L9" s="528">
        <v>2</v>
      </c>
      <c r="M9" s="212" t="s">
        <v>421</v>
      </c>
      <c r="N9" s="343">
        <v>0.2</v>
      </c>
      <c r="O9" s="343">
        <v>0.2</v>
      </c>
      <c r="P9" s="343">
        <v>0.2</v>
      </c>
      <c r="Q9" s="343">
        <v>0.4</v>
      </c>
      <c r="R9" s="343">
        <v>0.25</v>
      </c>
      <c r="S9" s="343">
        <v>0.5</v>
      </c>
      <c r="T9" s="346"/>
      <c r="U9" s="346"/>
    </row>
    <row r="10" spans="1:21" x14ac:dyDescent="0.5">
      <c r="A10" s="552"/>
      <c r="B10" s="212" t="s">
        <v>422</v>
      </c>
      <c r="C10" s="343">
        <v>0.2</v>
      </c>
      <c r="D10" s="343">
        <v>0.35</v>
      </c>
      <c r="E10" s="343">
        <v>0.4</v>
      </c>
      <c r="F10" s="343">
        <v>0.4</v>
      </c>
      <c r="G10" s="343">
        <v>0.25</v>
      </c>
      <c r="H10" s="343">
        <v>0.5</v>
      </c>
      <c r="I10" s="346"/>
      <c r="J10" s="346"/>
      <c r="L10" s="552"/>
      <c r="M10" s="212" t="s">
        <v>422</v>
      </c>
      <c r="N10" s="343">
        <v>0.2</v>
      </c>
      <c r="O10" s="343">
        <v>0.35</v>
      </c>
      <c r="P10" s="343">
        <v>0.4</v>
      </c>
      <c r="Q10" s="343">
        <v>0.4</v>
      </c>
      <c r="R10" s="343">
        <v>0.25</v>
      </c>
      <c r="S10" s="343">
        <v>0.5</v>
      </c>
      <c r="T10" s="346"/>
      <c r="U10" s="346"/>
    </row>
    <row r="11" spans="1:21" x14ac:dyDescent="0.5">
      <c r="A11" s="529"/>
      <c r="B11" s="212" t="s">
        <v>438</v>
      </c>
      <c r="C11" s="343">
        <v>6</v>
      </c>
      <c r="D11" s="343">
        <v>4</v>
      </c>
      <c r="E11" s="343">
        <v>12</v>
      </c>
      <c r="F11" s="343">
        <v>16</v>
      </c>
      <c r="G11" s="343">
        <v>20</v>
      </c>
      <c r="H11" s="343">
        <v>20</v>
      </c>
      <c r="I11" s="347">
        <f>+SUM(C11:H11)</f>
        <v>78</v>
      </c>
      <c r="J11" s="346" t="s">
        <v>440</v>
      </c>
      <c r="L11" s="529"/>
      <c r="M11" s="212" t="s">
        <v>438</v>
      </c>
      <c r="N11" s="343">
        <v>6</v>
      </c>
      <c r="O11" s="343">
        <v>4</v>
      </c>
      <c r="P11" s="343">
        <v>12</v>
      </c>
      <c r="Q11" s="343">
        <v>16</v>
      </c>
      <c r="R11" s="343">
        <v>20</v>
      </c>
      <c r="S11" s="343">
        <v>20</v>
      </c>
      <c r="T11" s="347">
        <f>+SUM(N11:S11)</f>
        <v>78</v>
      </c>
      <c r="U11" s="346" t="s">
        <v>440</v>
      </c>
    </row>
    <row r="12" spans="1:21" x14ac:dyDescent="0.5">
      <c r="A12" s="215" t="s">
        <v>83</v>
      </c>
      <c r="B12" s="212" t="s">
        <v>431</v>
      </c>
      <c r="C12" s="213">
        <f t="shared" ref="C12:H12" si="2">+C9*C10*C11*2400</f>
        <v>576.00000000000011</v>
      </c>
      <c r="D12" s="213">
        <f t="shared" si="2"/>
        <v>671.99999999999989</v>
      </c>
      <c r="E12" s="213">
        <f t="shared" si="2"/>
        <v>2304.0000000000005</v>
      </c>
      <c r="F12" s="213">
        <f t="shared" si="2"/>
        <v>6144.0000000000009</v>
      </c>
      <c r="G12" s="213">
        <f t="shared" si="2"/>
        <v>3000</v>
      </c>
      <c r="H12" s="213">
        <f t="shared" si="2"/>
        <v>12000</v>
      </c>
      <c r="I12" s="348">
        <f>+SUM(C12:H12)</f>
        <v>24696</v>
      </c>
      <c r="J12" s="237" t="s">
        <v>441</v>
      </c>
      <c r="L12" s="215" t="s">
        <v>83</v>
      </c>
      <c r="M12" s="212" t="s">
        <v>431</v>
      </c>
      <c r="N12" s="213">
        <f t="shared" ref="N12:S12" si="3">+N9*N10*N11*2400</f>
        <v>576.00000000000011</v>
      </c>
      <c r="O12" s="213">
        <f t="shared" si="3"/>
        <v>671.99999999999989</v>
      </c>
      <c r="P12" s="213">
        <f t="shared" si="3"/>
        <v>2304.0000000000005</v>
      </c>
      <c r="Q12" s="213">
        <f t="shared" si="3"/>
        <v>6144.0000000000009</v>
      </c>
      <c r="R12" s="213">
        <f t="shared" si="3"/>
        <v>3000</v>
      </c>
      <c r="S12" s="213">
        <f t="shared" si="3"/>
        <v>12000</v>
      </c>
      <c r="T12" s="348">
        <f>+SUM(N12:S12)</f>
        <v>24696</v>
      </c>
      <c r="U12" s="237" t="s">
        <v>441</v>
      </c>
    </row>
    <row r="13" spans="1:21" x14ac:dyDescent="0.5">
      <c r="A13" s="350" t="s">
        <v>22</v>
      </c>
      <c r="B13" s="342" t="s">
        <v>464</v>
      </c>
      <c r="C13" s="343" t="s">
        <v>215</v>
      </c>
      <c r="D13" s="343" t="s">
        <v>442</v>
      </c>
      <c r="E13" s="343" t="s">
        <v>443</v>
      </c>
      <c r="F13" s="343" t="s">
        <v>444</v>
      </c>
      <c r="G13" s="343" t="s">
        <v>445</v>
      </c>
      <c r="H13" s="343" t="s">
        <v>446</v>
      </c>
      <c r="I13" s="349"/>
      <c r="J13" s="349"/>
      <c r="L13" s="350" t="s">
        <v>22</v>
      </c>
      <c r="M13" s="342" t="s">
        <v>464</v>
      </c>
      <c r="N13" s="343" t="s">
        <v>215</v>
      </c>
      <c r="O13" s="343" t="s">
        <v>442</v>
      </c>
      <c r="P13" s="343" t="s">
        <v>443</v>
      </c>
      <c r="Q13" s="343" t="s">
        <v>444</v>
      </c>
      <c r="R13" s="343" t="s">
        <v>445</v>
      </c>
      <c r="S13" s="343" t="s">
        <v>446</v>
      </c>
      <c r="T13" s="349"/>
      <c r="U13" s="349"/>
    </row>
    <row r="14" spans="1:21" x14ac:dyDescent="0.5">
      <c r="A14" s="528">
        <v>1</v>
      </c>
      <c r="B14" s="212" t="s">
        <v>460</v>
      </c>
      <c r="C14" s="343">
        <v>0.2</v>
      </c>
      <c r="D14" s="343">
        <v>0.17499999999999999</v>
      </c>
      <c r="E14" s="343">
        <v>0.25</v>
      </c>
      <c r="F14" s="343">
        <v>0.125</v>
      </c>
      <c r="G14" s="343">
        <v>0.15</v>
      </c>
      <c r="H14" s="343">
        <v>0.1</v>
      </c>
      <c r="I14" s="346"/>
      <c r="J14" s="346"/>
      <c r="L14" s="528">
        <v>2</v>
      </c>
      <c r="M14" s="212" t="s">
        <v>460</v>
      </c>
      <c r="N14" s="343">
        <v>0.2</v>
      </c>
      <c r="O14" s="343">
        <v>0.17499999999999999</v>
      </c>
      <c r="P14" s="343">
        <v>0.25</v>
      </c>
      <c r="Q14" s="343">
        <v>0.125</v>
      </c>
      <c r="R14" s="343">
        <v>0.15</v>
      </c>
      <c r="S14" s="343">
        <v>0.1</v>
      </c>
      <c r="T14" s="346"/>
      <c r="U14" s="346"/>
    </row>
    <row r="15" spans="1:21" x14ac:dyDescent="0.5">
      <c r="A15" s="552"/>
      <c r="B15" s="212" t="s">
        <v>461</v>
      </c>
      <c r="C15" s="343">
        <v>12</v>
      </c>
      <c r="D15" s="343">
        <v>16</v>
      </c>
      <c r="E15" s="343">
        <v>18</v>
      </c>
      <c r="F15" s="343">
        <v>18</v>
      </c>
      <c r="G15" s="343">
        <v>20</v>
      </c>
      <c r="H15" s="343">
        <v>15</v>
      </c>
      <c r="I15" s="347">
        <f>+SUM(C15:H15)</f>
        <v>99</v>
      </c>
      <c r="J15" s="346" t="s">
        <v>447</v>
      </c>
      <c r="L15" s="552"/>
      <c r="M15" s="212" t="s">
        <v>461</v>
      </c>
      <c r="N15" s="343">
        <v>12</v>
      </c>
      <c r="O15" s="343">
        <v>16</v>
      </c>
      <c r="P15" s="343">
        <v>18</v>
      </c>
      <c r="Q15" s="343">
        <v>18</v>
      </c>
      <c r="R15" s="343">
        <v>20</v>
      </c>
      <c r="S15" s="343">
        <v>15</v>
      </c>
      <c r="T15" s="347">
        <f>+SUM(N15:S15)</f>
        <v>99</v>
      </c>
      <c r="U15" s="346" t="s">
        <v>447</v>
      </c>
    </row>
    <row r="16" spans="1:21" s="2" customFormat="1" x14ac:dyDescent="0.5">
      <c r="A16" s="344"/>
      <c r="B16" s="212" t="s">
        <v>462</v>
      </c>
      <c r="C16" s="343">
        <v>50</v>
      </c>
      <c r="D16" s="343">
        <v>50</v>
      </c>
      <c r="E16" s="343">
        <v>50</v>
      </c>
      <c r="F16" s="343">
        <v>50</v>
      </c>
      <c r="G16" s="343">
        <v>50</v>
      </c>
      <c r="H16" s="343">
        <v>50</v>
      </c>
      <c r="I16" s="347"/>
      <c r="J16" s="346"/>
      <c r="L16" s="344"/>
      <c r="M16" s="212" t="s">
        <v>462</v>
      </c>
      <c r="N16" s="343">
        <v>50</v>
      </c>
      <c r="O16" s="343">
        <v>50</v>
      </c>
      <c r="P16" s="343">
        <v>50</v>
      </c>
      <c r="Q16" s="343">
        <v>50</v>
      </c>
      <c r="R16" s="343">
        <v>50</v>
      </c>
      <c r="S16" s="343">
        <v>50</v>
      </c>
      <c r="T16" s="347"/>
      <c r="U16" s="346"/>
    </row>
    <row r="17" spans="1:21" x14ac:dyDescent="0.5">
      <c r="A17" s="215" t="s">
        <v>83</v>
      </c>
      <c r="B17" s="212" t="s">
        <v>431</v>
      </c>
      <c r="C17" s="213">
        <f>+C14*C15*2400+(C16*C15)</f>
        <v>6360.0000000000009</v>
      </c>
      <c r="D17" s="213">
        <f t="shared" ref="D17:H17" si="4">+D14*D15*2400+(D16*D15)</f>
        <v>7520</v>
      </c>
      <c r="E17" s="213">
        <f t="shared" si="4"/>
        <v>11700</v>
      </c>
      <c r="F17" s="213">
        <f t="shared" si="4"/>
        <v>6300</v>
      </c>
      <c r="G17" s="213">
        <f t="shared" si="4"/>
        <v>8200</v>
      </c>
      <c r="H17" s="213">
        <f t="shared" si="4"/>
        <v>4350</v>
      </c>
      <c r="I17" s="348">
        <f>+SUM(C17:H17)</f>
        <v>44430</v>
      </c>
      <c r="J17" s="237" t="s">
        <v>441</v>
      </c>
      <c r="L17" s="215" t="s">
        <v>83</v>
      </c>
      <c r="M17" s="212" t="s">
        <v>431</v>
      </c>
      <c r="N17" s="213">
        <f>+N14*N15*2400+(N16*N15)</f>
        <v>6360.0000000000009</v>
      </c>
      <c r="O17" s="213">
        <f t="shared" ref="O17" si="5">+O14*O15*2400+(O16*O15)</f>
        <v>7520</v>
      </c>
      <c r="P17" s="213">
        <f t="shared" ref="P17" si="6">+P14*P15*2400+(P16*P15)</f>
        <v>11700</v>
      </c>
      <c r="Q17" s="213">
        <f t="shared" ref="Q17" si="7">+Q14*Q15*2400+(Q16*Q15)</f>
        <v>6300</v>
      </c>
      <c r="R17" s="213">
        <f t="shared" ref="R17" si="8">+R14*R15*2400+(R16*R15)</f>
        <v>8200</v>
      </c>
      <c r="S17" s="213">
        <f t="shared" ref="S17" si="9">+S14*S15*2400+(S16*S15)</f>
        <v>4350</v>
      </c>
      <c r="T17" s="348">
        <f>+SUM(N17:S17)</f>
        <v>44430</v>
      </c>
      <c r="U17" s="237" t="s">
        <v>441</v>
      </c>
    </row>
    <row r="18" spans="1:21" x14ac:dyDescent="0.5">
      <c r="A18" s="350" t="s">
        <v>22</v>
      </c>
      <c r="B18" s="342" t="s">
        <v>465</v>
      </c>
      <c r="C18" s="343" t="s">
        <v>450</v>
      </c>
      <c r="D18" s="343" t="s">
        <v>451</v>
      </c>
      <c r="E18" s="343" t="s">
        <v>452</v>
      </c>
      <c r="F18" s="343" t="s">
        <v>453</v>
      </c>
      <c r="G18" s="343" t="s">
        <v>453</v>
      </c>
      <c r="H18" s="343" t="s">
        <v>454</v>
      </c>
      <c r="I18" s="349"/>
      <c r="J18" s="349"/>
      <c r="L18" s="350" t="s">
        <v>22</v>
      </c>
      <c r="M18" s="342" t="s">
        <v>465</v>
      </c>
      <c r="N18" s="343" t="s">
        <v>450</v>
      </c>
      <c r="O18" s="343" t="s">
        <v>451</v>
      </c>
      <c r="P18" s="343" t="s">
        <v>452</v>
      </c>
      <c r="Q18" s="343" t="s">
        <v>453</v>
      </c>
      <c r="R18" s="343" t="s">
        <v>453</v>
      </c>
      <c r="S18" s="343" t="s">
        <v>454</v>
      </c>
      <c r="T18" s="349"/>
      <c r="U18" s="349"/>
    </row>
    <row r="19" spans="1:21" x14ac:dyDescent="0.5">
      <c r="A19" s="528">
        <v>1</v>
      </c>
      <c r="B19" s="212" t="s">
        <v>448</v>
      </c>
      <c r="C19" s="343">
        <v>3</v>
      </c>
      <c r="D19" s="343">
        <v>3</v>
      </c>
      <c r="E19" s="343">
        <v>3</v>
      </c>
      <c r="F19" s="343">
        <v>3</v>
      </c>
      <c r="G19" s="343">
        <v>3</v>
      </c>
      <c r="H19" s="343">
        <v>3</v>
      </c>
      <c r="I19" s="346"/>
      <c r="J19" s="346"/>
      <c r="L19" s="528">
        <v>2</v>
      </c>
      <c r="M19" s="212" t="s">
        <v>448</v>
      </c>
      <c r="N19" s="343">
        <v>3</v>
      </c>
      <c r="O19" s="343">
        <v>3</v>
      </c>
      <c r="P19" s="343">
        <v>3</v>
      </c>
      <c r="Q19" s="343">
        <v>3</v>
      </c>
      <c r="R19" s="343">
        <v>3</v>
      </c>
      <c r="S19" s="343">
        <v>3</v>
      </c>
      <c r="T19" s="346"/>
      <c r="U19" s="346"/>
    </row>
    <row r="20" spans="1:21" s="2" customFormat="1" x14ac:dyDescent="0.5">
      <c r="A20" s="552"/>
      <c r="B20" s="212" t="s">
        <v>428</v>
      </c>
      <c r="C20" s="343">
        <v>5</v>
      </c>
      <c r="D20" s="343">
        <v>5</v>
      </c>
      <c r="E20" s="343">
        <v>5</v>
      </c>
      <c r="F20" s="343">
        <v>5</v>
      </c>
      <c r="G20" s="343">
        <v>5</v>
      </c>
      <c r="H20" s="343">
        <v>5</v>
      </c>
      <c r="I20" s="347">
        <f>+SUM(C20:H20)</f>
        <v>30</v>
      </c>
      <c r="J20" s="346" t="s">
        <v>16</v>
      </c>
      <c r="L20" s="552"/>
      <c r="M20" s="212" t="s">
        <v>428</v>
      </c>
      <c r="N20" s="343">
        <v>5</v>
      </c>
      <c r="O20" s="343">
        <v>5</v>
      </c>
      <c r="P20" s="343">
        <v>5</v>
      </c>
      <c r="Q20" s="343">
        <v>5</v>
      </c>
      <c r="R20" s="343">
        <v>5</v>
      </c>
      <c r="S20" s="343">
        <v>5</v>
      </c>
      <c r="T20" s="347">
        <f>+SUM(N20:S20)</f>
        <v>30</v>
      </c>
      <c r="U20" s="346" t="s">
        <v>16</v>
      </c>
    </row>
    <row r="21" spans="1:21" x14ac:dyDescent="0.5">
      <c r="A21" s="552"/>
      <c r="B21" s="212" t="s">
        <v>449</v>
      </c>
      <c r="C21" s="343">
        <v>180</v>
      </c>
      <c r="D21" s="343">
        <v>180</v>
      </c>
      <c r="E21" s="343">
        <v>180</v>
      </c>
      <c r="F21" s="343">
        <v>180</v>
      </c>
      <c r="G21" s="343">
        <v>180</v>
      </c>
      <c r="H21" s="343">
        <v>180</v>
      </c>
      <c r="I21" s="346"/>
      <c r="J21" s="346"/>
      <c r="L21" s="529"/>
      <c r="M21" s="212" t="s">
        <v>449</v>
      </c>
      <c r="N21" s="343">
        <v>180</v>
      </c>
      <c r="O21" s="343">
        <v>180</v>
      </c>
      <c r="P21" s="343">
        <v>180</v>
      </c>
      <c r="Q21" s="343">
        <v>180</v>
      </c>
      <c r="R21" s="343">
        <v>180</v>
      </c>
      <c r="S21" s="343">
        <v>180</v>
      </c>
      <c r="T21" s="346"/>
      <c r="U21" s="346"/>
    </row>
    <row r="22" spans="1:21" x14ac:dyDescent="0.5">
      <c r="A22" s="215" t="s">
        <v>83</v>
      </c>
      <c r="B22" s="212" t="s">
        <v>431</v>
      </c>
      <c r="C22" s="213">
        <f>+C19*C20*C21</f>
        <v>2700</v>
      </c>
      <c r="D22" s="213">
        <f t="shared" ref="D22:H22" si="10">+D19*D20*D21</f>
        <v>2700</v>
      </c>
      <c r="E22" s="213">
        <f t="shared" si="10"/>
        <v>2700</v>
      </c>
      <c r="F22" s="213">
        <f t="shared" si="10"/>
        <v>2700</v>
      </c>
      <c r="G22" s="213">
        <f t="shared" si="10"/>
        <v>2700</v>
      </c>
      <c r="H22" s="213">
        <f t="shared" si="10"/>
        <v>2700</v>
      </c>
      <c r="I22" s="348">
        <f>+SUM(C22:H22)</f>
        <v>16200</v>
      </c>
      <c r="J22" s="237" t="s">
        <v>441</v>
      </c>
      <c r="L22" s="215" t="s">
        <v>83</v>
      </c>
      <c r="M22" s="212" t="s">
        <v>431</v>
      </c>
      <c r="N22" s="213">
        <f>+N19*N20*N21</f>
        <v>2700</v>
      </c>
      <c r="O22" s="213">
        <f t="shared" ref="O22" si="11">+O19*O20*O21</f>
        <v>2700</v>
      </c>
      <c r="P22" s="213">
        <f t="shared" ref="P22" si="12">+P19*P20*P21</f>
        <v>2700</v>
      </c>
      <c r="Q22" s="213">
        <f t="shared" ref="Q22" si="13">+Q19*Q20*Q21</f>
        <v>2700</v>
      </c>
      <c r="R22" s="213">
        <f t="shared" ref="R22" si="14">+R19*R20*R21</f>
        <v>2700</v>
      </c>
      <c r="S22" s="213">
        <f t="shared" ref="S22" si="15">+S19*S20*S21</f>
        <v>2700</v>
      </c>
      <c r="T22" s="348">
        <f>+SUM(N22:S22)</f>
        <v>16200</v>
      </c>
      <c r="U22" s="237" t="s">
        <v>441</v>
      </c>
    </row>
    <row r="23" spans="1:21" x14ac:dyDescent="0.5">
      <c r="A23" s="350" t="s">
        <v>22</v>
      </c>
      <c r="B23" s="342" t="s">
        <v>466</v>
      </c>
      <c r="C23" s="343" t="s">
        <v>455</v>
      </c>
      <c r="D23" s="343" t="s">
        <v>451</v>
      </c>
      <c r="E23" s="343" t="s">
        <v>452</v>
      </c>
      <c r="F23" s="343" t="s">
        <v>453</v>
      </c>
      <c r="G23" s="343" t="s">
        <v>453</v>
      </c>
      <c r="H23" s="343" t="s">
        <v>454</v>
      </c>
      <c r="I23" s="349"/>
      <c r="J23" s="349"/>
      <c r="L23" s="350" t="s">
        <v>22</v>
      </c>
      <c r="M23" s="342" t="s">
        <v>466</v>
      </c>
      <c r="N23" s="343" t="s">
        <v>455</v>
      </c>
      <c r="O23" s="343" t="s">
        <v>451</v>
      </c>
      <c r="P23" s="343" t="s">
        <v>452</v>
      </c>
      <c r="Q23" s="343" t="s">
        <v>453</v>
      </c>
      <c r="R23" s="343" t="s">
        <v>453</v>
      </c>
      <c r="S23" s="343" t="s">
        <v>454</v>
      </c>
      <c r="T23" s="349"/>
      <c r="U23" s="349"/>
    </row>
    <row r="24" spans="1:21" x14ac:dyDescent="0.5">
      <c r="A24" s="528">
        <v>1</v>
      </c>
      <c r="B24" s="212" t="s">
        <v>448</v>
      </c>
      <c r="C24" s="343">
        <v>3</v>
      </c>
      <c r="D24" s="343">
        <v>3</v>
      </c>
      <c r="E24" s="343">
        <v>3</v>
      </c>
      <c r="F24" s="343">
        <v>3</v>
      </c>
      <c r="G24" s="343">
        <v>3</v>
      </c>
      <c r="H24" s="343">
        <v>3</v>
      </c>
      <c r="I24" s="346"/>
      <c r="J24" s="346"/>
      <c r="L24" s="528">
        <v>2</v>
      </c>
      <c r="M24" s="212" t="s">
        <v>448</v>
      </c>
      <c r="N24" s="343">
        <v>3</v>
      </c>
      <c r="O24" s="343">
        <v>3</v>
      </c>
      <c r="P24" s="343">
        <v>3</v>
      </c>
      <c r="Q24" s="343">
        <v>3</v>
      </c>
      <c r="R24" s="343">
        <v>3</v>
      </c>
      <c r="S24" s="343">
        <v>3</v>
      </c>
      <c r="T24" s="346"/>
      <c r="U24" s="346"/>
    </row>
    <row r="25" spans="1:21" x14ac:dyDescent="0.5">
      <c r="A25" s="552"/>
      <c r="B25" s="212" t="s">
        <v>428</v>
      </c>
      <c r="C25" s="343">
        <v>5</v>
      </c>
      <c r="D25" s="343">
        <v>5</v>
      </c>
      <c r="E25" s="343">
        <v>5</v>
      </c>
      <c r="F25" s="343">
        <v>5</v>
      </c>
      <c r="G25" s="343">
        <v>5</v>
      </c>
      <c r="H25" s="343">
        <v>5</v>
      </c>
      <c r="I25" s="347">
        <f>+SUM(C25:H25)</f>
        <v>30</v>
      </c>
      <c r="J25" s="346" t="s">
        <v>16</v>
      </c>
      <c r="L25" s="552"/>
      <c r="M25" s="212" t="s">
        <v>428</v>
      </c>
      <c r="N25" s="343">
        <v>5</v>
      </c>
      <c r="O25" s="343">
        <v>5</v>
      </c>
      <c r="P25" s="343">
        <v>5</v>
      </c>
      <c r="Q25" s="343">
        <v>5</v>
      </c>
      <c r="R25" s="343">
        <v>5</v>
      </c>
      <c r="S25" s="343">
        <v>5</v>
      </c>
      <c r="T25" s="347">
        <f>+SUM(N25:S25)</f>
        <v>30</v>
      </c>
      <c r="U25" s="346" t="s">
        <v>16</v>
      </c>
    </row>
    <row r="26" spans="1:21" s="2" customFormat="1" x14ac:dyDescent="0.5">
      <c r="A26" s="552"/>
      <c r="B26" s="212" t="s">
        <v>456</v>
      </c>
      <c r="C26" s="343">
        <v>0.2</v>
      </c>
      <c r="D26" s="343">
        <v>0.2</v>
      </c>
      <c r="E26" s="343">
        <v>0.2</v>
      </c>
      <c r="F26" s="343">
        <v>0.2</v>
      </c>
      <c r="G26" s="343">
        <v>0.2</v>
      </c>
      <c r="H26" s="343">
        <v>0.2</v>
      </c>
      <c r="I26" s="346"/>
      <c r="J26" s="346"/>
      <c r="L26" s="529"/>
      <c r="M26" s="212" t="s">
        <v>456</v>
      </c>
      <c r="N26" s="343">
        <v>0.2</v>
      </c>
      <c r="O26" s="343">
        <v>0.2</v>
      </c>
      <c r="P26" s="343">
        <v>0.2</v>
      </c>
      <c r="Q26" s="343">
        <v>0.2</v>
      </c>
      <c r="R26" s="343">
        <v>0.2</v>
      </c>
      <c r="S26" s="343">
        <v>0.2</v>
      </c>
      <c r="T26" s="346"/>
      <c r="U26" s="346"/>
    </row>
    <row r="27" spans="1:21" x14ac:dyDescent="0.5">
      <c r="A27" s="215" t="s">
        <v>83</v>
      </c>
      <c r="B27" s="212" t="s">
        <v>431</v>
      </c>
      <c r="C27" s="213">
        <f t="shared" ref="C27:H27" si="16">+C26*C24*C25*2400</f>
        <v>7200.0000000000009</v>
      </c>
      <c r="D27" s="213">
        <f t="shared" si="16"/>
        <v>7200.0000000000009</v>
      </c>
      <c r="E27" s="213">
        <f t="shared" si="16"/>
        <v>7200.0000000000009</v>
      </c>
      <c r="F27" s="213">
        <f t="shared" si="16"/>
        <v>7200.0000000000009</v>
      </c>
      <c r="G27" s="213">
        <f t="shared" si="16"/>
        <v>7200.0000000000009</v>
      </c>
      <c r="H27" s="213">
        <f t="shared" si="16"/>
        <v>7200.0000000000009</v>
      </c>
      <c r="I27" s="348">
        <f>+SUM(C27:H27)</f>
        <v>43200.000000000007</v>
      </c>
      <c r="J27" s="237" t="s">
        <v>441</v>
      </c>
      <c r="L27" s="215" t="s">
        <v>83</v>
      </c>
      <c r="M27" s="212" t="s">
        <v>431</v>
      </c>
      <c r="N27" s="213">
        <f t="shared" ref="N27:S27" si="17">+N26*N24*N25*2400</f>
        <v>7200.0000000000009</v>
      </c>
      <c r="O27" s="213">
        <f t="shared" si="17"/>
        <v>7200.0000000000009</v>
      </c>
      <c r="P27" s="213">
        <f t="shared" si="17"/>
        <v>7200.0000000000009</v>
      </c>
      <c r="Q27" s="213">
        <f t="shared" si="17"/>
        <v>7200.0000000000009</v>
      </c>
      <c r="R27" s="213">
        <f t="shared" si="17"/>
        <v>7200.0000000000009</v>
      </c>
      <c r="S27" s="213">
        <f t="shared" si="17"/>
        <v>7200.0000000000009</v>
      </c>
      <c r="T27" s="348">
        <f>+SUM(N27:S27)</f>
        <v>43200.000000000007</v>
      </c>
      <c r="U27" s="237" t="s">
        <v>441</v>
      </c>
    </row>
    <row r="28" spans="1:21" x14ac:dyDescent="0.5">
      <c r="A28" s="350" t="s">
        <v>22</v>
      </c>
      <c r="B28" s="342" t="s">
        <v>467</v>
      </c>
      <c r="C28" s="343" t="s">
        <v>424</v>
      </c>
      <c r="D28" s="343" t="s">
        <v>425</v>
      </c>
      <c r="E28" s="343" t="s">
        <v>426</v>
      </c>
      <c r="F28" s="343" t="s">
        <v>427</v>
      </c>
      <c r="G28" s="343" t="s">
        <v>429</v>
      </c>
      <c r="H28" s="343" t="s">
        <v>430</v>
      </c>
      <c r="I28" s="349"/>
      <c r="J28" s="349"/>
      <c r="L28" s="350" t="s">
        <v>22</v>
      </c>
      <c r="M28" s="342" t="s">
        <v>467</v>
      </c>
      <c r="N28" s="343" t="s">
        <v>424</v>
      </c>
      <c r="O28" s="343" t="s">
        <v>425</v>
      </c>
      <c r="P28" s="343" t="s">
        <v>426</v>
      </c>
      <c r="Q28" s="343" t="s">
        <v>427</v>
      </c>
      <c r="R28" s="343" t="s">
        <v>429</v>
      </c>
      <c r="S28" s="343" t="s">
        <v>430</v>
      </c>
      <c r="T28" s="349"/>
      <c r="U28" s="349"/>
    </row>
    <row r="29" spans="1:21" x14ac:dyDescent="0.5">
      <c r="A29" s="528">
        <v>1</v>
      </c>
      <c r="B29" s="212" t="s">
        <v>457</v>
      </c>
      <c r="C29" s="343">
        <v>0.2</v>
      </c>
      <c r="D29" s="343">
        <v>0.2</v>
      </c>
      <c r="E29" s="343">
        <v>0.2</v>
      </c>
      <c r="F29" s="343">
        <v>0.25</v>
      </c>
      <c r="G29" s="343">
        <v>0.25</v>
      </c>
      <c r="H29" s="343">
        <v>0.25</v>
      </c>
      <c r="I29" s="346"/>
      <c r="J29" s="346"/>
      <c r="L29" s="528">
        <v>2</v>
      </c>
      <c r="M29" s="212" t="s">
        <v>457</v>
      </c>
      <c r="N29" s="343">
        <v>0.2</v>
      </c>
      <c r="O29" s="343">
        <v>0.2</v>
      </c>
      <c r="P29" s="343">
        <v>0.2</v>
      </c>
      <c r="Q29" s="343">
        <v>0.25</v>
      </c>
      <c r="R29" s="343">
        <v>0.25</v>
      </c>
      <c r="S29" s="343">
        <v>0.25</v>
      </c>
      <c r="T29" s="346"/>
      <c r="U29" s="346"/>
    </row>
    <row r="30" spans="1:21" x14ac:dyDescent="0.5">
      <c r="A30" s="552"/>
      <c r="B30" s="212" t="s">
        <v>458</v>
      </c>
      <c r="C30" s="343">
        <v>0.3</v>
      </c>
      <c r="D30" s="343">
        <v>0.35</v>
      </c>
      <c r="E30" s="343">
        <v>0.4</v>
      </c>
      <c r="F30" s="343">
        <v>0.4</v>
      </c>
      <c r="G30" s="343">
        <v>0.45</v>
      </c>
      <c r="H30" s="343">
        <v>0.5</v>
      </c>
      <c r="I30" s="346"/>
      <c r="J30" s="346"/>
      <c r="L30" s="552"/>
      <c r="M30" s="212" t="s">
        <v>458</v>
      </c>
      <c r="N30" s="343">
        <v>0.3</v>
      </c>
      <c r="O30" s="343">
        <v>0.35</v>
      </c>
      <c r="P30" s="343">
        <v>0.4</v>
      </c>
      <c r="Q30" s="343">
        <v>0.4</v>
      </c>
      <c r="R30" s="343">
        <v>0.45</v>
      </c>
      <c r="S30" s="343">
        <v>0.5</v>
      </c>
      <c r="T30" s="346"/>
      <c r="U30" s="346"/>
    </row>
    <row r="31" spans="1:21" x14ac:dyDescent="0.5">
      <c r="A31" s="529"/>
      <c r="B31" s="212" t="s">
        <v>459</v>
      </c>
      <c r="C31" s="343">
        <v>3</v>
      </c>
      <c r="D31" s="343">
        <v>3</v>
      </c>
      <c r="E31" s="343">
        <v>3</v>
      </c>
      <c r="F31" s="343">
        <v>3</v>
      </c>
      <c r="G31" s="343">
        <v>3</v>
      </c>
      <c r="H31" s="343">
        <v>3</v>
      </c>
      <c r="I31" s="347">
        <f>+SUM(C31:H31)</f>
        <v>18</v>
      </c>
      <c r="J31" s="346" t="s">
        <v>16</v>
      </c>
      <c r="L31" s="529"/>
      <c r="M31" s="212" t="s">
        <v>459</v>
      </c>
      <c r="N31" s="343">
        <v>3</v>
      </c>
      <c r="O31" s="343">
        <v>3</v>
      </c>
      <c r="P31" s="343">
        <v>3</v>
      </c>
      <c r="Q31" s="343">
        <v>3</v>
      </c>
      <c r="R31" s="343">
        <v>3</v>
      </c>
      <c r="S31" s="343">
        <v>3</v>
      </c>
      <c r="T31" s="347">
        <f>+SUM(N31:S31)</f>
        <v>18</v>
      </c>
      <c r="U31" s="346" t="s">
        <v>16</v>
      </c>
    </row>
    <row r="32" spans="1:21" x14ac:dyDescent="0.5">
      <c r="A32" s="215" t="s">
        <v>83</v>
      </c>
      <c r="B32" s="212" t="s">
        <v>431</v>
      </c>
      <c r="C32" s="213">
        <f t="shared" ref="C32:H32" si="18">+C29*C30*C31*2400</f>
        <v>432</v>
      </c>
      <c r="D32" s="213">
        <f t="shared" si="18"/>
        <v>503.99999999999989</v>
      </c>
      <c r="E32" s="213">
        <f t="shared" si="18"/>
        <v>576.00000000000011</v>
      </c>
      <c r="F32" s="213">
        <f t="shared" si="18"/>
        <v>720.00000000000011</v>
      </c>
      <c r="G32" s="213">
        <f t="shared" si="18"/>
        <v>810</v>
      </c>
      <c r="H32" s="213">
        <f t="shared" si="18"/>
        <v>900</v>
      </c>
      <c r="I32" s="348">
        <f>+SUM(C32:H32)</f>
        <v>3942</v>
      </c>
      <c r="J32" s="237" t="s">
        <v>441</v>
      </c>
      <c r="L32" s="215" t="s">
        <v>83</v>
      </c>
      <c r="M32" s="212" t="s">
        <v>431</v>
      </c>
      <c r="N32" s="213">
        <f t="shared" ref="N32:S32" si="19">+N29*N30*N31*2400</f>
        <v>432</v>
      </c>
      <c r="O32" s="213">
        <f t="shared" si="19"/>
        <v>503.99999999999989</v>
      </c>
      <c r="P32" s="213">
        <f t="shared" si="19"/>
        <v>576.00000000000011</v>
      </c>
      <c r="Q32" s="213">
        <f t="shared" si="19"/>
        <v>720.00000000000011</v>
      </c>
      <c r="R32" s="213">
        <f t="shared" si="19"/>
        <v>810</v>
      </c>
      <c r="S32" s="213">
        <f t="shared" si="19"/>
        <v>900</v>
      </c>
      <c r="T32" s="348">
        <f>+SUM(N32:S32)</f>
        <v>3942</v>
      </c>
      <c r="U32" s="237" t="s">
        <v>441</v>
      </c>
    </row>
    <row r="33" spans="1:21" x14ac:dyDescent="0.5">
      <c r="A33" s="351"/>
      <c r="B33" s="352"/>
      <c r="C33" s="352"/>
      <c r="D33" s="352"/>
      <c r="E33" s="352"/>
      <c r="F33" s="352"/>
      <c r="G33" s="352"/>
      <c r="H33" s="352"/>
      <c r="I33" s="353">
        <f>+(I32+I27+I22+I17+I12+I7)/1000</f>
        <v>151.548</v>
      </c>
      <c r="J33" s="354" t="s">
        <v>468</v>
      </c>
      <c r="L33" s="351"/>
      <c r="M33" s="352"/>
      <c r="N33" s="352"/>
      <c r="O33" s="352"/>
      <c r="P33" s="352"/>
      <c r="Q33" s="352"/>
      <c r="R33" s="352"/>
      <c r="S33" s="352"/>
      <c r="T33" s="353">
        <f>+(T32+T27+T22+T17+T12+T7)/1000</f>
        <v>151.548</v>
      </c>
      <c r="U33" s="354" t="s">
        <v>468</v>
      </c>
    </row>
    <row r="35" spans="1:21" x14ac:dyDescent="0.5">
      <c r="A35" s="350" t="s">
        <v>22</v>
      </c>
      <c r="B35" s="342" t="s">
        <v>423</v>
      </c>
      <c r="C35" s="343" t="s">
        <v>424</v>
      </c>
      <c r="D35" s="343" t="s">
        <v>425</v>
      </c>
      <c r="E35" s="343" t="s">
        <v>426</v>
      </c>
      <c r="F35" s="343" t="s">
        <v>427</v>
      </c>
      <c r="G35" s="343" t="s">
        <v>429</v>
      </c>
      <c r="H35" s="343" t="s">
        <v>430</v>
      </c>
      <c r="I35" s="345"/>
      <c r="J35" s="345"/>
      <c r="K35" s="2"/>
      <c r="L35" s="350" t="s">
        <v>22</v>
      </c>
      <c r="M35" s="342" t="s">
        <v>423</v>
      </c>
      <c r="N35" s="343" t="s">
        <v>424</v>
      </c>
      <c r="O35" s="343" t="s">
        <v>425</v>
      </c>
      <c r="P35" s="343" t="s">
        <v>426</v>
      </c>
      <c r="Q35" s="343" t="s">
        <v>427</v>
      </c>
      <c r="R35" s="343" t="s">
        <v>429</v>
      </c>
      <c r="S35" s="343" t="s">
        <v>430</v>
      </c>
      <c r="T35" s="345"/>
      <c r="U35" s="345"/>
    </row>
    <row r="36" spans="1:21" x14ac:dyDescent="0.5">
      <c r="A36" s="528">
        <v>3</v>
      </c>
      <c r="B36" s="212" t="s">
        <v>457</v>
      </c>
      <c r="C36" s="343">
        <v>0.2</v>
      </c>
      <c r="D36" s="343">
        <v>0.2</v>
      </c>
      <c r="E36" s="343">
        <v>0.2</v>
      </c>
      <c r="F36" s="343">
        <v>0.25</v>
      </c>
      <c r="G36" s="343">
        <v>0.25</v>
      </c>
      <c r="H36" s="343">
        <v>0.25</v>
      </c>
      <c r="I36" s="346"/>
      <c r="J36" s="346"/>
      <c r="K36" s="2"/>
      <c r="L36" s="528">
        <v>4</v>
      </c>
      <c r="M36" s="212" t="s">
        <v>457</v>
      </c>
      <c r="N36" s="343">
        <v>0.2</v>
      </c>
      <c r="O36" s="343">
        <v>0.2</v>
      </c>
      <c r="P36" s="343">
        <v>0.2</v>
      </c>
      <c r="Q36" s="343">
        <v>0.25</v>
      </c>
      <c r="R36" s="343">
        <v>0.25</v>
      </c>
      <c r="S36" s="343">
        <v>0.25</v>
      </c>
      <c r="T36" s="346"/>
      <c r="U36" s="346"/>
    </row>
    <row r="37" spans="1:21" x14ac:dyDescent="0.5">
      <c r="A37" s="552"/>
      <c r="B37" s="212" t="s">
        <v>458</v>
      </c>
      <c r="C37" s="343">
        <v>0.3</v>
      </c>
      <c r="D37" s="343">
        <v>0.35</v>
      </c>
      <c r="E37" s="343">
        <v>0.4</v>
      </c>
      <c r="F37" s="343">
        <v>0.4</v>
      </c>
      <c r="G37" s="343">
        <v>0.45</v>
      </c>
      <c r="H37" s="343">
        <v>0.5</v>
      </c>
      <c r="I37" s="346"/>
      <c r="J37" s="346"/>
      <c r="K37" s="2"/>
      <c r="L37" s="552"/>
      <c r="M37" s="212" t="s">
        <v>458</v>
      </c>
      <c r="N37" s="343">
        <v>0.3</v>
      </c>
      <c r="O37" s="343">
        <v>0.35</v>
      </c>
      <c r="P37" s="343">
        <v>0.4</v>
      </c>
      <c r="Q37" s="343">
        <v>0.4</v>
      </c>
      <c r="R37" s="343">
        <v>0.45</v>
      </c>
      <c r="S37" s="343">
        <v>0.5</v>
      </c>
      <c r="T37" s="346"/>
      <c r="U37" s="346"/>
    </row>
    <row r="38" spans="1:21" x14ac:dyDescent="0.5">
      <c r="A38" s="529"/>
      <c r="B38" s="212" t="s">
        <v>459</v>
      </c>
      <c r="C38" s="343">
        <v>6</v>
      </c>
      <c r="D38" s="343">
        <v>4</v>
      </c>
      <c r="E38" s="343">
        <v>12</v>
      </c>
      <c r="F38" s="343">
        <v>16</v>
      </c>
      <c r="G38" s="343">
        <v>20</v>
      </c>
      <c r="H38" s="343">
        <v>20</v>
      </c>
      <c r="I38" s="347">
        <f>+SUM(C38:H38)</f>
        <v>78</v>
      </c>
      <c r="J38" s="346" t="s">
        <v>16</v>
      </c>
      <c r="K38" s="2"/>
      <c r="L38" s="529"/>
      <c r="M38" s="212" t="s">
        <v>459</v>
      </c>
      <c r="N38" s="343">
        <v>6</v>
      </c>
      <c r="O38" s="343">
        <v>4</v>
      </c>
      <c r="P38" s="343">
        <v>12</v>
      </c>
      <c r="Q38" s="343">
        <v>16</v>
      </c>
      <c r="R38" s="343">
        <v>20</v>
      </c>
      <c r="S38" s="343">
        <v>20</v>
      </c>
      <c r="T38" s="347">
        <f>+SUM(N38:S38)</f>
        <v>78</v>
      </c>
      <c r="U38" s="346" t="s">
        <v>16</v>
      </c>
    </row>
    <row r="39" spans="1:21" x14ac:dyDescent="0.5">
      <c r="A39" s="215" t="s">
        <v>83</v>
      </c>
      <c r="B39" s="212" t="s">
        <v>431</v>
      </c>
      <c r="C39" s="213">
        <f t="shared" ref="C39:H39" si="20">+C36*C37*C38*2400</f>
        <v>864</v>
      </c>
      <c r="D39" s="213">
        <f t="shared" si="20"/>
        <v>671.99999999999989</v>
      </c>
      <c r="E39" s="213">
        <f t="shared" si="20"/>
        <v>2304.0000000000005</v>
      </c>
      <c r="F39" s="213">
        <f t="shared" si="20"/>
        <v>3840</v>
      </c>
      <c r="G39" s="213">
        <f t="shared" si="20"/>
        <v>5400</v>
      </c>
      <c r="H39" s="213">
        <f t="shared" si="20"/>
        <v>6000</v>
      </c>
      <c r="I39" s="348">
        <f>+SUM(C39:H39)</f>
        <v>19080</v>
      </c>
      <c r="J39" s="237" t="s">
        <v>439</v>
      </c>
      <c r="K39" s="2"/>
      <c r="L39" s="215" t="s">
        <v>83</v>
      </c>
      <c r="M39" s="212" t="s">
        <v>431</v>
      </c>
      <c r="N39" s="213">
        <f t="shared" ref="N39:S39" si="21">+N36*N37*N38*2400</f>
        <v>864</v>
      </c>
      <c r="O39" s="213">
        <f t="shared" si="21"/>
        <v>671.99999999999989</v>
      </c>
      <c r="P39" s="213">
        <f t="shared" si="21"/>
        <v>2304.0000000000005</v>
      </c>
      <c r="Q39" s="213">
        <f t="shared" si="21"/>
        <v>3840</v>
      </c>
      <c r="R39" s="213">
        <f t="shared" si="21"/>
        <v>5400</v>
      </c>
      <c r="S39" s="213">
        <f t="shared" si="21"/>
        <v>6000</v>
      </c>
      <c r="T39" s="348">
        <f>+SUM(N39:S39)</f>
        <v>19080</v>
      </c>
      <c r="U39" s="237" t="s">
        <v>439</v>
      </c>
    </row>
    <row r="40" spans="1:21" x14ac:dyDescent="0.5">
      <c r="A40" s="350" t="s">
        <v>22</v>
      </c>
      <c r="B40" s="342" t="s">
        <v>463</v>
      </c>
      <c r="C40" s="343" t="s">
        <v>432</v>
      </c>
      <c r="D40" s="343" t="s">
        <v>433</v>
      </c>
      <c r="E40" s="343" t="s">
        <v>434</v>
      </c>
      <c r="F40" s="343" t="s">
        <v>435</v>
      </c>
      <c r="G40" s="343" t="s">
        <v>436</v>
      </c>
      <c r="H40" s="343" t="s">
        <v>437</v>
      </c>
      <c r="I40" s="349"/>
      <c r="J40" s="349"/>
      <c r="K40" s="2"/>
      <c r="L40" s="350" t="s">
        <v>22</v>
      </c>
      <c r="M40" s="342" t="s">
        <v>463</v>
      </c>
      <c r="N40" s="343" t="s">
        <v>432</v>
      </c>
      <c r="O40" s="343" t="s">
        <v>433</v>
      </c>
      <c r="P40" s="343" t="s">
        <v>434</v>
      </c>
      <c r="Q40" s="343" t="s">
        <v>435</v>
      </c>
      <c r="R40" s="343" t="s">
        <v>436</v>
      </c>
      <c r="S40" s="343" t="s">
        <v>437</v>
      </c>
      <c r="T40" s="349"/>
      <c r="U40" s="349"/>
    </row>
    <row r="41" spans="1:21" x14ac:dyDescent="0.5">
      <c r="A41" s="528">
        <v>3</v>
      </c>
      <c r="B41" s="212" t="s">
        <v>421</v>
      </c>
      <c r="C41" s="343">
        <v>0.2</v>
      </c>
      <c r="D41" s="343">
        <v>0.2</v>
      </c>
      <c r="E41" s="343">
        <v>0.2</v>
      </c>
      <c r="F41" s="343">
        <v>0.4</v>
      </c>
      <c r="G41" s="343">
        <v>0.25</v>
      </c>
      <c r="H41" s="343">
        <v>0.5</v>
      </c>
      <c r="I41" s="346"/>
      <c r="J41" s="346"/>
      <c r="K41" s="2"/>
      <c r="L41" s="528">
        <v>4</v>
      </c>
      <c r="M41" s="212" t="s">
        <v>421</v>
      </c>
      <c r="N41" s="343">
        <v>0.2</v>
      </c>
      <c r="O41" s="343">
        <v>0.2</v>
      </c>
      <c r="P41" s="343">
        <v>0.2</v>
      </c>
      <c r="Q41" s="343">
        <v>0.4</v>
      </c>
      <c r="R41" s="343">
        <v>0.25</v>
      </c>
      <c r="S41" s="343">
        <v>0.5</v>
      </c>
      <c r="T41" s="346"/>
      <c r="U41" s="346"/>
    </row>
    <row r="42" spans="1:21" x14ac:dyDescent="0.5">
      <c r="A42" s="552"/>
      <c r="B42" s="212" t="s">
        <v>422</v>
      </c>
      <c r="C42" s="343">
        <v>0.2</v>
      </c>
      <c r="D42" s="343">
        <v>0.35</v>
      </c>
      <c r="E42" s="343">
        <v>0.4</v>
      </c>
      <c r="F42" s="343">
        <v>0.4</v>
      </c>
      <c r="G42" s="343">
        <v>0.25</v>
      </c>
      <c r="H42" s="343">
        <v>0.5</v>
      </c>
      <c r="I42" s="346"/>
      <c r="J42" s="346"/>
      <c r="K42" s="2"/>
      <c r="L42" s="552"/>
      <c r="M42" s="212" t="s">
        <v>422</v>
      </c>
      <c r="N42" s="343">
        <v>0.2</v>
      </c>
      <c r="O42" s="343">
        <v>0.35</v>
      </c>
      <c r="P42" s="343">
        <v>0.4</v>
      </c>
      <c r="Q42" s="343">
        <v>0.4</v>
      </c>
      <c r="R42" s="343">
        <v>0.25</v>
      </c>
      <c r="S42" s="343">
        <v>0.5</v>
      </c>
      <c r="T42" s="346"/>
      <c r="U42" s="346"/>
    </row>
    <row r="43" spans="1:21" x14ac:dyDescent="0.5">
      <c r="A43" s="529"/>
      <c r="B43" s="212" t="s">
        <v>438</v>
      </c>
      <c r="C43" s="343">
        <v>6</v>
      </c>
      <c r="D43" s="343">
        <v>4</v>
      </c>
      <c r="E43" s="343">
        <v>12</v>
      </c>
      <c r="F43" s="343">
        <v>16</v>
      </c>
      <c r="G43" s="343">
        <v>20</v>
      </c>
      <c r="H43" s="343">
        <v>20</v>
      </c>
      <c r="I43" s="347">
        <f>+SUM(C43:H43)</f>
        <v>78</v>
      </c>
      <c r="J43" s="346" t="s">
        <v>440</v>
      </c>
      <c r="K43" s="2"/>
      <c r="L43" s="529"/>
      <c r="M43" s="212" t="s">
        <v>438</v>
      </c>
      <c r="N43" s="343">
        <v>6</v>
      </c>
      <c r="O43" s="343">
        <v>4</v>
      </c>
      <c r="P43" s="343">
        <v>12</v>
      </c>
      <c r="Q43" s="343">
        <v>16</v>
      </c>
      <c r="R43" s="343">
        <v>20</v>
      </c>
      <c r="S43" s="343">
        <v>20</v>
      </c>
      <c r="T43" s="347">
        <f>+SUM(N43:S43)</f>
        <v>78</v>
      </c>
      <c r="U43" s="346" t="s">
        <v>440</v>
      </c>
    </row>
    <row r="44" spans="1:21" x14ac:dyDescent="0.5">
      <c r="A44" s="215" t="s">
        <v>83</v>
      </c>
      <c r="B44" s="212" t="s">
        <v>431</v>
      </c>
      <c r="C44" s="213">
        <f t="shared" ref="C44:H44" si="22">+C41*C42*C43*2400</f>
        <v>576.00000000000011</v>
      </c>
      <c r="D44" s="213">
        <f t="shared" si="22"/>
        <v>671.99999999999989</v>
      </c>
      <c r="E44" s="213">
        <f t="shared" si="22"/>
        <v>2304.0000000000005</v>
      </c>
      <c r="F44" s="213">
        <f t="shared" si="22"/>
        <v>6144.0000000000009</v>
      </c>
      <c r="G44" s="213">
        <f t="shared" si="22"/>
        <v>3000</v>
      </c>
      <c r="H44" s="213">
        <f t="shared" si="22"/>
        <v>12000</v>
      </c>
      <c r="I44" s="348">
        <f>+SUM(C44:H44)</f>
        <v>24696</v>
      </c>
      <c r="J44" s="237" t="s">
        <v>441</v>
      </c>
      <c r="K44" s="2"/>
      <c r="L44" s="215" t="s">
        <v>83</v>
      </c>
      <c r="M44" s="212" t="s">
        <v>431</v>
      </c>
      <c r="N44" s="213">
        <f t="shared" ref="N44:S44" si="23">+N41*N42*N43*2400</f>
        <v>576.00000000000011</v>
      </c>
      <c r="O44" s="213">
        <f t="shared" si="23"/>
        <v>671.99999999999989</v>
      </c>
      <c r="P44" s="213">
        <f t="shared" si="23"/>
        <v>2304.0000000000005</v>
      </c>
      <c r="Q44" s="213">
        <f t="shared" si="23"/>
        <v>6144.0000000000009</v>
      </c>
      <c r="R44" s="213">
        <f t="shared" si="23"/>
        <v>3000</v>
      </c>
      <c r="S44" s="213">
        <f t="shared" si="23"/>
        <v>12000</v>
      </c>
      <c r="T44" s="348">
        <f>+SUM(N44:S44)</f>
        <v>24696</v>
      </c>
      <c r="U44" s="237" t="s">
        <v>441</v>
      </c>
    </row>
    <row r="45" spans="1:21" x14ac:dyDescent="0.5">
      <c r="A45" s="350" t="s">
        <v>22</v>
      </c>
      <c r="B45" s="342" t="s">
        <v>464</v>
      </c>
      <c r="C45" s="343" t="s">
        <v>215</v>
      </c>
      <c r="D45" s="343" t="s">
        <v>442</v>
      </c>
      <c r="E45" s="343" t="s">
        <v>443</v>
      </c>
      <c r="F45" s="343" t="s">
        <v>444</v>
      </c>
      <c r="G45" s="343" t="s">
        <v>445</v>
      </c>
      <c r="H45" s="343" t="s">
        <v>446</v>
      </c>
      <c r="I45" s="349"/>
      <c r="J45" s="349"/>
      <c r="K45" s="2"/>
      <c r="L45" s="350" t="s">
        <v>22</v>
      </c>
      <c r="M45" s="342" t="s">
        <v>464</v>
      </c>
      <c r="N45" s="343" t="s">
        <v>215</v>
      </c>
      <c r="O45" s="343" t="s">
        <v>442</v>
      </c>
      <c r="P45" s="343" t="s">
        <v>443</v>
      </c>
      <c r="Q45" s="343" t="s">
        <v>444</v>
      </c>
      <c r="R45" s="343" t="s">
        <v>445</v>
      </c>
      <c r="S45" s="343" t="s">
        <v>446</v>
      </c>
      <c r="T45" s="349"/>
      <c r="U45" s="349"/>
    </row>
    <row r="46" spans="1:21" x14ac:dyDescent="0.5">
      <c r="A46" s="528">
        <v>3</v>
      </c>
      <c r="B46" s="212" t="s">
        <v>460</v>
      </c>
      <c r="C46" s="343">
        <v>0.2</v>
      </c>
      <c r="D46" s="343">
        <v>0.17499999999999999</v>
      </c>
      <c r="E46" s="343">
        <v>0.25</v>
      </c>
      <c r="F46" s="343">
        <v>0.125</v>
      </c>
      <c r="G46" s="343">
        <v>0.15</v>
      </c>
      <c r="H46" s="343">
        <v>0.1</v>
      </c>
      <c r="I46" s="346"/>
      <c r="J46" s="346"/>
      <c r="K46" s="2"/>
      <c r="L46" s="528">
        <v>4</v>
      </c>
      <c r="M46" s="212" t="s">
        <v>460</v>
      </c>
      <c r="N46" s="343">
        <v>0.2</v>
      </c>
      <c r="O46" s="343">
        <v>0.17499999999999999</v>
      </c>
      <c r="P46" s="343">
        <v>0.25</v>
      </c>
      <c r="Q46" s="343">
        <v>0.125</v>
      </c>
      <c r="R46" s="343">
        <v>0.15</v>
      </c>
      <c r="S46" s="343">
        <v>0.1</v>
      </c>
      <c r="T46" s="346"/>
      <c r="U46" s="346"/>
    </row>
    <row r="47" spans="1:21" x14ac:dyDescent="0.5">
      <c r="A47" s="552"/>
      <c r="B47" s="212" t="s">
        <v>461</v>
      </c>
      <c r="C47" s="343">
        <v>12</v>
      </c>
      <c r="D47" s="343">
        <v>16</v>
      </c>
      <c r="E47" s="343">
        <v>18</v>
      </c>
      <c r="F47" s="343">
        <v>18</v>
      </c>
      <c r="G47" s="343">
        <v>20</v>
      </c>
      <c r="H47" s="343">
        <v>15</v>
      </c>
      <c r="I47" s="347">
        <f>+SUM(C47:H47)</f>
        <v>99</v>
      </c>
      <c r="J47" s="346" t="s">
        <v>447</v>
      </c>
      <c r="K47" s="2"/>
      <c r="L47" s="552"/>
      <c r="M47" s="212" t="s">
        <v>461</v>
      </c>
      <c r="N47" s="343">
        <v>12</v>
      </c>
      <c r="O47" s="343">
        <v>16</v>
      </c>
      <c r="P47" s="343">
        <v>18</v>
      </c>
      <c r="Q47" s="343">
        <v>18</v>
      </c>
      <c r="R47" s="343">
        <v>20</v>
      </c>
      <c r="S47" s="343">
        <v>15</v>
      </c>
      <c r="T47" s="347">
        <f>+SUM(N47:S47)</f>
        <v>99</v>
      </c>
      <c r="U47" s="346" t="s">
        <v>447</v>
      </c>
    </row>
    <row r="48" spans="1:21" x14ac:dyDescent="0.5">
      <c r="A48" s="344"/>
      <c r="B48" s="212" t="s">
        <v>462</v>
      </c>
      <c r="C48" s="343">
        <v>50</v>
      </c>
      <c r="D48" s="343">
        <v>50</v>
      </c>
      <c r="E48" s="343">
        <v>50</v>
      </c>
      <c r="F48" s="343">
        <v>50</v>
      </c>
      <c r="G48" s="343">
        <v>50</v>
      </c>
      <c r="H48" s="343">
        <v>50</v>
      </c>
      <c r="I48" s="347"/>
      <c r="J48" s="346"/>
      <c r="K48" s="2"/>
      <c r="L48" s="344"/>
      <c r="M48" s="212" t="s">
        <v>462</v>
      </c>
      <c r="N48" s="343">
        <v>50</v>
      </c>
      <c r="O48" s="343">
        <v>50</v>
      </c>
      <c r="P48" s="343">
        <v>50</v>
      </c>
      <c r="Q48" s="343">
        <v>50</v>
      </c>
      <c r="R48" s="343">
        <v>50</v>
      </c>
      <c r="S48" s="343">
        <v>50</v>
      </c>
      <c r="T48" s="347"/>
      <c r="U48" s="346"/>
    </row>
    <row r="49" spans="1:21" x14ac:dyDescent="0.5">
      <c r="A49" s="215" t="s">
        <v>83</v>
      </c>
      <c r="B49" s="212" t="s">
        <v>431</v>
      </c>
      <c r="C49" s="213">
        <f>+C46*C47*2400+(C48*C47)</f>
        <v>6360.0000000000009</v>
      </c>
      <c r="D49" s="213">
        <f t="shared" ref="D49" si="24">+D46*D47*2400+(D48*D47)</f>
        <v>7520</v>
      </c>
      <c r="E49" s="213">
        <f t="shared" ref="E49" si="25">+E46*E47*2400+(E48*E47)</f>
        <v>11700</v>
      </c>
      <c r="F49" s="213">
        <f t="shared" ref="F49" si="26">+F46*F47*2400+(F48*F47)</f>
        <v>6300</v>
      </c>
      <c r="G49" s="213">
        <f t="shared" ref="G49" si="27">+G46*G47*2400+(G48*G47)</f>
        <v>8200</v>
      </c>
      <c r="H49" s="213">
        <f t="shared" ref="H49" si="28">+H46*H47*2400+(H48*H47)</f>
        <v>4350</v>
      </c>
      <c r="I49" s="348">
        <f>+SUM(C49:H49)</f>
        <v>44430</v>
      </c>
      <c r="J49" s="237" t="s">
        <v>441</v>
      </c>
      <c r="K49" s="2"/>
      <c r="L49" s="215" t="s">
        <v>83</v>
      </c>
      <c r="M49" s="212" t="s">
        <v>431</v>
      </c>
      <c r="N49" s="213">
        <f>+N46*N47*2400+(N48*N47)</f>
        <v>6360.0000000000009</v>
      </c>
      <c r="O49" s="213">
        <f t="shared" ref="O49" si="29">+O46*O47*2400+(O48*O47)</f>
        <v>7520</v>
      </c>
      <c r="P49" s="213">
        <f t="shared" ref="P49" si="30">+P46*P47*2400+(P48*P47)</f>
        <v>11700</v>
      </c>
      <c r="Q49" s="213">
        <f t="shared" ref="Q49" si="31">+Q46*Q47*2400+(Q48*Q47)</f>
        <v>6300</v>
      </c>
      <c r="R49" s="213">
        <f t="shared" ref="R49" si="32">+R46*R47*2400+(R48*R47)</f>
        <v>8200</v>
      </c>
      <c r="S49" s="213">
        <f t="shared" ref="S49" si="33">+S46*S47*2400+(S48*S47)</f>
        <v>4350</v>
      </c>
      <c r="T49" s="348">
        <f>+SUM(N49:S49)</f>
        <v>44430</v>
      </c>
      <c r="U49" s="237" t="s">
        <v>441</v>
      </c>
    </row>
    <row r="50" spans="1:21" x14ac:dyDescent="0.5">
      <c r="A50" s="350" t="s">
        <v>22</v>
      </c>
      <c r="B50" s="342" t="s">
        <v>465</v>
      </c>
      <c r="C50" s="343" t="s">
        <v>450</v>
      </c>
      <c r="D50" s="343" t="s">
        <v>451</v>
      </c>
      <c r="E50" s="343" t="s">
        <v>452</v>
      </c>
      <c r="F50" s="343" t="s">
        <v>453</v>
      </c>
      <c r="G50" s="343" t="s">
        <v>453</v>
      </c>
      <c r="H50" s="343" t="s">
        <v>454</v>
      </c>
      <c r="I50" s="349"/>
      <c r="J50" s="349"/>
      <c r="K50" s="2"/>
      <c r="L50" s="350" t="s">
        <v>22</v>
      </c>
      <c r="M50" s="342" t="s">
        <v>465</v>
      </c>
      <c r="N50" s="343" t="s">
        <v>450</v>
      </c>
      <c r="O50" s="343" t="s">
        <v>451</v>
      </c>
      <c r="P50" s="343" t="s">
        <v>452</v>
      </c>
      <c r="Q50" s="343" t="s">
        <v>453</v>
      </c>
      <c r="R50" s="343" t="s">
        <v>453</v>
      </c>
      <c r="S50" s="343" t="s">
        <v>454</v>
      </c>
      <c r="T50" s="349"/>
      <c r="U50" s="349"/>
    </row>
    <row r="51" spans="1:21" x14ac:dyDescent="0.5">
      <c r="A51" s="528">
        <v>3</v>
      </c>
      <c r="B51" s="212" t="s">
        <v>448</v>
      </c>
      <c r="C51" s="343">
        <v>3</v>
      </c>
      <c r="D51" s="343">
        <v>3</v>
      </c>
      <c r="E51" s="343">
        <v>3</v>
      </c>
      <c r="F51" s="343">
        <v>3</v>
      </c>
      <c r="G51" s="343">
        <v>3</v>
      </c>
      <c r="H51" s="343">
        <v>3</v>
      </c>
      <c r="I51" s="346"/>
      <c r="J51" s="346"/>
      <c r="K51" s="2"/>
      <c r="L51" s="528">
        <v>4</v>
      </c>
      <c r="M51" s="212" t="s">
        <v>448</v>
      </c>
      <c r="N51" s="343">
        <v>3</v>
      </c>
      <c r="O51" s="343">
        <v>3</v>
      </c>
      <c r="P51" s="343">
        <v>3</v>
      </c>
      <c r="Q51" s="343">
        <v>3</v>
      </c>
      <c r="R51" s="343">
        <v>3</v>
      </c>
      <c r="S51" s="343">
        <v>3</v>
      </c>
      <c r="T51" s="346"/>
      <c r="U51" s="346"/>
    </row>
    <row r="52" spans="1:21" x14ac:dyDescent="0.5">
      <c r="A52" s="552"/>
      <c r="B52" s="212" t="s">
        <v>428</v>
      </c>
      <c r="C52" s="343">
        <v>5</v>
      </c>
      <c r="D52" s="343">
        <v>5</v>
      </c>
      <c r="E52" s="343">
        <v>5</v>
      </c>
      <c r="F52" s="343">
        <v>5</v>
      </c>
      <c r="G52" s="343">
        <v>5</v>
      </c>
      <c r="H52" s="343">
        <v>5</v>
      </c>
      <c r="I52" s="347">
        <f>+SUM(C52:H52)</f>
        <v>30</v>
      </c>
      <c r="J52" s="346" t="s">
        <v>16</v>
      </c>
      <c r="K52" s="2"/>
      <c r="L52" s="552"/>
      <c r="M52" s="212" t="s">
        <v>428</v>
      </c>
      <c r="N52" s="343">
        <v>5</v>
      </c>
      <c r="O52" s="343">
        <v>5</v>
      </c>
      <c r="P52" s="343">
        <v>5</v>
      </c>
      <c r="Q52" s="343">
        <v>5</v>
      </c>
      <c r="R52" s="343">
        <v>5</v>
      </c>
      <c r="S52" s="343">
        <v>5</v>
      </c>
      <c r="T52" s="347">
        <f>+SUM(N52:S52)</f>
        <v>30</v>
      </c>
      <c r="U52" s="346" t="s">
        <v>16</v>
      </c>
    </row>
    <row r="53" spans="1:21" x14ac:dyDescent="0.5">
      <c r="A53" s="529"/>
      <c r="B53" s="212" t="s">
        <v>449</v>
      </c>
      <c r="C53" s="343">
        <v>180</v>
      </c>
      <c r="D53" s="343">
        <v>180</v>
      </c>
      <c r="E53" s="343">
        <v>180</v>
      </c>
      <c r="F53" s="343">
        <v>180</v>
      </c>
      <c r="G53" s="343">
        <v>180</v>
      </c>
      <c r="H53" s="343">
        <v>180</v>
      </c>
      <c r="I53" s="346"/>
      <c r="J53" s="346"/>
      <c r="K53" s="2"/>
      <c r="L53" s="529"/>
      <c r="M53" s="212" t="s">
        <v>449</v>
      </c>
      <c r="N53" s="343">
        <v>180</v>
      </c>
      <c r="O53" s="343">
        <v>180</v>
      </c>
      <c r="P53" s="343">
        <v>180</v>
      </c>
      <c r="Q53" s="343">
        <v>180</v>
      </c>
      <c r="R53" s="343">
        <v>180</v>
      </c>
      <c r="S53" s="343">
        <v>180</v>
      </c>
      <c r="T53" s="346"/>
      <c r="U53" s="346"/>
    </row>
    <row r="54" spans="1:21" x14ac:dyDescent="0.5">
      <c r="A54" s="215" t="s">
        <v>83</v>
      </c>
      <c r="B54" s="212" t="s">
        <v>431</v>
      </c>
      <c r="C54" s="213">
        <f>+C51*C52*C53</f>
        <v>2700</v>
      </c>
      <c r="D54" s="213">
        <f t="shared" ref="D54" si="34">+D51*D52*D53</f>
        <v>2700</v>
      </c>
      <c r="E54" s="213">
        <f t="shared" ref="E54" si="35">+E51*E52*E53</f>
        <v>2700</v>
      </c>
      <c r="F54" s="213">
        <f t="shared" ref="F54" si="36">+F51*F52*F53</f>
        <v>2700</v>
      </c>
      <c r="G54" s="213">
        <f t="shared" ref="G54" si="37">+G51*G52*G53</f>
        <v>2700</v>
      </c>
      <c r="H54" s="213">
        <f t="shared" ref="H54" si="38">+H51*H52*H53</f>
        <v>2700</v>
      </c>
      <c r="I54" s="348">
        <f>+SUM(C54:H54)</f>
        <v>16200</v>
      </c>
      <c r="J54" s="237" t="s">
        <v>441</v>
      </c>
      <c r="K54" s="2"/>
      <c r="L54" s="215" t="s">
        <v>83</v>
      </c>
      <c r="M54" s="212" t="s">
        <v>431</v>
      </c>
      <c r="N54" s="213">
        <f>+N51*N52*N53</f>
        <v>2700</v>
      </c>
      <c r="O54" s="213">
        <f t="shared" ref="O54" si="39">+O51*O52*O53</f>
        <v>2700</v>
      </c>
      <c r="P54" s="213">
        <f t="shared" ref="P54" si="40">+P51*P52*P53</f>
        <v>2700</v>
      </c>
      <c r="Q54" s="213">
        <f t="shared" ref="Q54" si="41">+Q51*Q52*Q53</f>
        <v>2700</v>
      </c>
      <c r="R54" s="213">
        <f t="shared" ref="R54" si="42">+R51*R52*R53</f>
        <v>2700</v>
      </c>
      <c r="S54" s="213">
        <f t="shared" ref="S54" si="43">+S51*S52*S53</f>
        <v>2700</v>
      </c>
      <c r="T54" s="348">
        <f>+SUM(N54:S54)</f>
        <v>16200</v>
      </c>
      <c r="U54" s="237" t="s">
        <v>441</v>
      </c>
    </row>
    <row r="55" spans="1:21" x14ac:dyDescent="0.5">
      <c r="A55" s="350" t="s">
        <v>22</v>
      </c>
      <c r="B55" s="342" t="s">
        <v>466</v>
      </c>
      <c r="C55" s="343" t="s">
        <v>455</v>
      </c>
      <c r="D55" s="343" t="s">
        <v>451</v>
      </c>
      <c r="E55" s="343" t="s">
        <v>452</v>
      </c>
      <c r="F55" s="343" t="s">
        <v>453</v>
      </c>
      <c r="G55" s="343" t="s">
        <v>453</v>
      </c>
      <c r="H55" s="343" t="s">
        <v>454</v>
      </c>
      <c r="I55" s="349"/>
      <c r="J55" s="349"/>
      <c r="K55" s="2"/>
      <c r="L55" s="350" t="s">
        <v>22</v>
      </c>
      <c r="M55" s="342" t="s">
        <v>466</v>
      </c>
      <c r="N55" s="343" t="s">
        <v>455</v>
      </c>
      <c r="O55" s="343" t="s">
        <v>451</v>
      </c>
      <c r="P55" s="343" t="s">
        <v>452</v>
      </c>
      <c r="Q55" s="343" t="s">
        <v>453</v>
      </c>
      <c r="R55" s="343" t="s">
        <v>453</v>
      </c>
      <c r="S55" s="343" t="s">
        <v>454</v>
      </c>
      <c r="T55" s="349"/>
      <c r="U55" s="349"/>
    </row>
    <row r="56" spans="1:21" x14ac:dyDescent="0.5">
      <c r="A56" s="528">
        <v>3</v>
      </c>
      <c r="B56" s="212" t="s">
        <v>448</v>
      </c>
      <c r="C56" s="343">
        <v>3</v>
      </c>
      <c r="D56" s="343">
        <v>3</v>
      </c>
      <c r="E56" s="343">
        <v>3</v>
      </c>
      <c r="F56" s="343">
        <v>3</v>
      </c>
      <c r="G56" s="343">
        <v>3</v>
      </c>
      <c r="H56" s="343">
        <v>3</v>
      </c>
      <c r="I56" s="346"/>
      <c r="J56" s="346"/>
      <c r="K56" s="2"/>
      <c r="L56" s="528">
        <v>4</v>
      </c>
      <c r="M56" s="212" t="s">
        <v>448</v>
      </c>
      <c r="N56" s="343">
        <v>3</v>
      </c>
      <c r="O56" s="343">
        <v>3</v>
      </c>
      <c r="P56" s="343">
        <v>3</v>
      </c>
      <c r="Q56" s="343">
        <v>3</v>
      </c>
      <c r="R56" s="343">
        <v>3</v>
      </c>
      <c r="S56" s="343">
        <v>3</v>
      </c>
      <c r="T56" s="346"/>
      <c r="U56" s="346"/>
    </row>
    <row r="57" spans="1:21" x14ac:dyDescent="0.5">
      <c r="A57" s="552"/>
      <c r="B57" s="212" t="s">
        <v>428</v>
      </c>
      <c r="C57" s="343">
        <v>5</v>
      </c>
      <c r="D57" s="343">
        <v>5</v>
      </c>
      <c r="E57" s="343">
        <v>5</v>
      </c>
      <c r="F57" s="343">
        <v>5</v>
      </c>
      <c r="G57" s="343">
        <v>5</v>
      </c>
      <c r="H57" s="343">
        <v>5</v>
      </c>
      <c r="I57" s="347">
        <f>+SUM(C57:H57)</f>
        <v>30</v>
      </c>
      <c r="J57" s="346" t="s">
        <v>16</v>
      </c>
      <c r="K57" s="2"/>
      <c r="L57" s="552"/>
      <c r="M57" s="212" t="s">
        <v>428</v>
      </c>
      <c r="N57" s="343">
        <v>5</v>
      </c>
      <c r="O57" s="343">
        <v>5</v>
      </c>
      <c r="P57" s="343">
        <v>5</v>
      </c>
      <c r="Q57" s="343">
        <v>5</v>
      </c>
      <c r="R57" s="343">
        <v>5</v>
      </c>
      <c r="S57" s="343">
        <v>5</v>
      </c>
      <c r="T57" s="347">
        <f>+SUM(N57:S57)</f>
        <v>30</v>
      </c>
      <c r="U57" s="346" t="s">
        <v>16</v>
      </c>
    </row>
    <row r="58" spans="1:21" x14ac:dyDescent="0.5">
      <c r="A58" s="529"/>
      <c r="B58" s="212" t="s">
        <v>456</v>
      </c>
      <c r="C58" s="343">
        <v>0.2</v>
      </c>
      <c r="D58" s="343">
        <v>0.2</v>
      </c>
      <c r="E58" s="343">
        <v>0.2</v>
      </c>
      <c r="F58" s="343">
        <v>0.2</v>
      </c>
      <c r="G58" s="343">
        <v>0.2</v>
      </c>
      <c r="H58" s="343">
        <v>0.2</v>
      </c>
      <c r="I58" s="346"/>
      <c r="J58" s="346"/>
      <c r="K58" s="2"/>
      <c r="L58" s="529"/>
      <c r="M58" s="212" t="s">
        <v>456</v>
      </c>
      <c r="N58" s="343">
        <v>0.2</v>
      </c>
      <c r="O58" s="343">
        <v>0.2</v>
      </c>
      <c r="P58" s="343">
        <v>0.2</v>
      </c>
      <c r="Q58" s="343">
        <v>0.2</v>
      </c>
      <c r="R58" s="343">
        <v>0.2</v>
      </c>
      <c r="S58" s="343">
        <v>0.2</v>
      </c>
      <c r="T58" s="346"/>
      <c r="U58" s="346"/>
    </row>
    <row r="59" spans="1:21" x14ac:dyDescent="0.5">
      <c r="A59" s="215" t="s">
        <v>83</v>
      </c>
      <c r="B59" s="212" t="s">
        <v>431</v>
      </c>
      <c r="C59" s="213">
        <f t="shared" ref="C59:H59" si="44">+C58*C56*C57*2400</f>
        <v>7200.0000000000009</v>
      </c>
      <c r="D59" s="213">
        <f t="shared" si="44"/>
        <v>7200.0000000000009</v>
      </c>
      <c r="E59" s="213">
        <f t="shared" si="44"/>
        <v>7200.0000000000009</v>
      </c>
      <c r="F59" s="213">
        <f t="shared" si="44"/>
        <v>7200.0000000000009</v>
      </c>
      <c r="G59" s="213">
        <f t="shared" si="44"/>
        <v>7200.0000000000009</v>
      </c>
      <c r="H59" s="213">
        <f t="shared" si="44"/>
        <v>7200.0000000000009</v>
      </c>
      <c r="I59" s="348">
        <f>+SUM(C59:H59)</f>
        <v>43200.000000000007</v>
      </c>
      <c r="J59" s="237" t="s">
        <v>441</v>
      </c>
      <c r="K59" s="2"/>
      <c r="L59" s="215" t="s">
        <v>83</v>
      </c>
      <c r="M59" s="212" t="s">
        <v>431</v>
      </c>
      <c r="N59" s="213">
        <f t="shared" ref="N59:S59" si="45">+N58*N56*N57*2400</f>
        <v>7200.0000000000009</v>
      </c>
      <c r="O59" s="213">
        <f t="shared" si="45"/>
        <v>7200.0000000000009</v>
      </c>
      <c r="P59" s="213">
        <f t="shared" si="45"/>
        <v>7200.0000000000009</v>
      </c>
      <c r="Q59" s="213">
        <f t="shared" si="45"/>
        <v>7200.0000000000009</v>
      </c>
      <c r="R59" s="213">
        <f t="shared" si="45"/>
        <v>7200.0000000000009</v>
      </c>
      <c r="S59" s="213">
        <f t="shared" si="45"/>
        <v>7200.0000000000009</v>
      </c>
      <c r="T59" s="348">
        <f>+SUM(N59:S59)</f>
        <v>43200.000000000007</v>
      </c>
      <c r="U59" s="237" t="s">
        <v>441</v>
      </c>
    </row>
    <row r="60" spans="1:21" x14ac:dyDescent="0.5">
      <c r="A60" s="350" t="s">
        <v>22</v>
      </c>
      <c r="B60" s="342" t="s">
        <v>467</v>
      </c>
      <c r="C60" s="343" t="s">
        <v>424</v>
      </c>
      <c r="D60" s="343" t="s">
        <v>425</v>
      </c>
      <c r="E60" s="343" t="s">
        <v>426</v>
      </c>
      <c r="F60" s="343" t="s">
        <v>427</v>
      </c>
      <c r="G60" s="343" t="s">
        <v>429</v>
      </c>
      <c r="H60" s="343" t="s">
        <v>430</v>
      </c>
      <c r="I60" s="349"/>
      <c r="J60" s="349"/>
      <c r="K60" s="2"/>
      <c r="L60" s="350" t="s">
        <v>22</v>
      </c>
      <c r="M60" s="342" t="s">
        <v>467</v>
      </c>
      <c r="N60" s="343" t="s">
        <v>424</v>
      </c>
      <c r="O60" s="343" t="s">
        <v>425</v>
      </c>
      <c r="P60" s="343" t="s">
        <v>426</v>
      </c>
      <c r="Q60" s="343" t="s">
        <v>427</v>
      </c>
      <c r="R60" s="343" t="s">
        <v>429</v>
      </c>
      <c r="S60" s="343" t="s">
        <v>430</v>
      </c>
      <c r="T60" s="349"/>
      <c r="U60" s="349"/>
    </row>
    <row r="61" spans="1:21" x14ac:dyDescent="0.5">
      <c r="A61" s="528">
        <v>3</v>
      </c>
      <c r="B61" s="212" t="s">
        <v>457</v>
      </c>
      <c r="C61" s="343">
        <v>0.2</v>
      </c>
      <c r="D61" s="343">
        <v>0.2</v>
      </c>
      <c r="E61" s="343">
        <v>0.2</v>
      </c>
      <c r="F61" s="343">
        <v>0.25</v>
      </c>
      <c r="G61" s="343">
        <v>0.25</v>
      </c>
      <c r="H61" s="343">
        <v>0.25</v>
      </c>
      <c r="I61" s="346"/>
      <c r="J61" s="346"/>
      <c r="K61" s="2"/>
      <c r="L61" s="528">
        <v>4</v>
      </c>
      <c r="M61" s="212" t="s">
        <v>457</v>
      </c>
      <c r="N61" s="343">
        <v>0.2</v>
      </c>
      <c r="O61" s="343">
        <v>0.2</v>
      </c>
      <c r="P61" s="343">
        <v>0.2</v>
      </c>
      <c r="Q61" s="343">
        <v>0.25</v>
      </c>
      <c r="R61" s="343">
        <v>0.25</v>
      </c>
      <c r="S61" s="343">
        <v>0.25</v>
      </c>
      <c r="T61" s="346"/>
      <c r="U61" s="346"/>
    </row>
    <row r="62" spans="1:21" x14ac:dyDescent="0.5">
      <c r="A62" s="552"/>
      <c r="B62" s="212" t="s">
        <v>458</v>
      </c>
      <c r="C62" s="343">
        <v>0.3</v>
      </c>
      <c r="D62" s="343">
        <v>0.35</v>
      </c>
      <c r="E62" s="343">
        <v>0.4</v>
      </c>
      <c r="F62" s="343">
        <v>0.4</v>
      </c>
      <c r="G62" s="343">
        <v>0.45</v>
      </c>
      <c r="H62" s="343">
        <v>0.5</v>
      </c>
      <c r="I62" s="346"/>
      <c r="J62" s="346"/>
      <c r="K62" s="2"/>
      <c r="L62" s="552"/>
      <c r="M62" s="212" t="s">
        <v>458</v>
      </c>
      <c r="N62" s="343">
        <v>0.3</v>
      </c>
      <c r="O62" s="343">
        <v>0.35</v>
      </c>
      <c r="P62" s="343">
        <v>0.4</v>
      </c>
      <c r="Q62" s="343">
        <v>0.4</v>
      </c>
      <c r="R62" s="343">
        <v>0.45</v>
      </c>
      <c r="S62" s="343">
        <v>0.5</v>
      </c>
      <c r="T62" s="346"/>
      <c r="U62" s="346"/>
    </row>
    <row r="63" spans="1:21" x14ac:dyDescent="0.5">
      <c r="A63" s="529"/>
      <c r="B63" s="212" t="s">
        <v>459</v>
      </c>
      <c r="C63" s="343">
        <v>3</v>
      </c>
      <c r="D63" s="343">
        <v>3</v>
      </c>
      <c r="E63" s="343">
        <v>3</v>
      </c>
      <c r="F63" s="343">
        <v>3</v>
      </c>
      <c r="G63" s="343">
        <v>3</v>
      </c>
      <c r="H63" s="343">
        <v>3</v>
      </c>
      <c r="I63" s="347">
        <f>+SUM(C63:H63)</f>
        <v>18</v>
      </c>
      <c r="J63" s="346" t="s">
        <v>16</v>
      </c>
      <c r="K63" s="2"/>
      <c r="L63" s="529"/>
      <c r="M63" s="212" t="s">
        <v>459</v>
      </c>
      <c r="N63" s="343">
        <v>3</v>
      </c>
      <c r="O63" s="343">
        <v>3</v>
      </c>
      <c r="P63" s="343">
        <v>3</v>
      </c>
      <c r="Q63" s="343">
        <v>3</v>
      </c>
      <c r="R63" s="343">
        <v>3</v>
      </c>
      <c r="S63" s="343">
        <v>3</v>
      </c>
      <c r="T63" s="347">
        <f>+SUM(N63:S63)</f>
        <v>18</v>
      </c>
      <c r="U63" s="346" t="s">
        <v>16</v>
      </c>
    </row>
    <row r="64" spans="1:21" x14ac:dyDescent="0.5">
      <c r="A64" s="215" t="s">
        <v>83</v>
      </c>
      <c r="B64" s="212" t="s">
        <v>431</v>
      </c>
      <c r="C64" s="213">
        <f t="shared" ref="C64:H64" si="46">+C61*C62*C63*2400</f>
        <v>432</v>
      </c>
      <c r="D64" s="213">
        <f t="shared" si="46"/>
        <v>503.99999999999989</v>
      </c>
      <c r="E64" s="213">
        <f t="shared" si="46"/>
        <v>576.00000000000011</v>
      </c>
      <c r="F64" s="213">
        <f t="shared" si="46"/>
        <v>720.00000000000011</v>
      </c>
      <c r="G64" s="213">
        <f t="shared" si="46"/>
        <v>810</v>
      </c>
      <c r="H64" s="213">
        <f t="shared" si="46"/>
        <v>900</v>
      </c>
      <c r="I64" s="348">
        <f>+SUM(C64:H64)</f>
        <v>3942</v>
      </c>
      <c r="J64" s="237" t="s">
        <v>441</v>
      </c>
      <c r="K64" s="2"/>
      <c r="L64" s="215" t="s">
        <v>83</v>
      </c>
      <c r="M64" s="212" t="s">
        <v>431</v>
      </c>
      <c r="N64" s="213">
        <f t="shared" ref="N64:S64" si="47">+N61*N62*N63*2400</f>
        <v>432</v>
      </c>
      <c r="O64" s="213">
        <f t="shared" si="47"/>
        <v>503.99999999999989</v>
      </c>
      <c r="P64" s="213">
        <f t="shared" si="47"/>
        <v>576.00000000000011</v>
      </c>
      <c r="Q64" s="213">
        <f t="shared" si="47"/>
        <v>720.00000000000011</v>
      </c>
      <c r="R64" s="213">
        <f t="shared" si="47"/>
        <v>810</v>
      </c>
      <c r="S64" s="213">
        <f t="shared" si="47"/>
        <v>900</v>
      </c>
      <c r="T64" s="348">
        <f>+SUM(N64:S64)</f>
        <v>3942</v>
      </c>
      <c r="U64" s="237" t="s">
        <v>441</v>
      </c>
    </row>
    <row r="65" spans="1:21" x14ac:dyDescent="0.5">
      <c r="A65" s="351"/>
      <c r="B65" s="352"/>
      <c r="C65" s="352"/>
      <c r="D65" s="352"/>
      <c r="E65" s="352"/>
      <c r="F65" s="352"/>
      <c r="G65" s="352"/>
      <c r="H65" s="352"/>
      <c r="I65" s="353">
        <f>+(I64+I59+I54+I49+I44+I39)/1000</f>
        <v>151.548</v>
      </c>
      <c r="J65" s="354" t="s">
        <v>468</v>
      </c>
      <c r="K65" s="2"/>
      <c r="L65" s="351"/>
      <c r="M65" s="352"/>
      <c r="N65" s="352"/>
      <c r="O65" s="352"/>
      <c r="P65" s="352"/>
      <c r="Q65" s="352"/>
      <c r="R65" s="352"/>
      <c r="S65" s="352"/>
      <c r="T65" s="353">
        <f>+(T64+T59+T54+T49+T44+T39)/1000</f>
        <v>151.548</v>
      </c>
      <c r="U65" s="354" t="s">
        <v>468</v>
      </c>
    </row>
    <row r="67" spans="1:21" x14ac:dyDescent="0.5">
      <c r="A67" s="350" t="s">
        <v>22</v>
      </c>
      <c r="B67" s="342" t="s">
        <v>423</v>
      </c>
      <c r="C67" s="343" t="s">
        <v>424</v>
      </c>
      <c r="D67" s="343" t="s">
        <v>425</v>
      </c>
      <c r="E67" s="343" t="s">
        <v>426</v>
      </c>
      <c r="F67" s="343" t="s">
        <v>427</v>
      </c>
      <c r="G67" s="343" t="s">
        <v>429</v>
      </c>
      <c r="H67" s="343" t="s">
        <v>430</v>
      </c>
      <c r="I67" s="345"/>
      <c r="J67" s="345"/>
      <c r="K67" s="2"/>
      <c r="L67" s="350" t="s">
        <v>22</v>
      </c>
      <c r="M67" s="342" t="s">
        <v>423</v>
      </c>
      <c r="N67" s="343" t="s">
        <v>424</v>
      </c>
      <c r="O67" s="343" t="s">
        <v>425</v>
      </c>
      <c r="P67" s="343" t="s">
        <v>426</v>
      </c>
      <c r="Q67" s="343" t="s">
        <v>427</v>
      </c>
      <c r="R67" s="343" t="s">
        <v>429</v>
      </c>
      <c r="S67" s="343" t="s">
        <v>430</v>
      </c>
      <c r="T67" s="345"/>
      <c r="U67" s="345"/>
    </row>
    <row r="68" spans="1:21" x14ac:dyDescent="0.5">
      <c r="A68" s="528">
        <v>5</v>
      </c>
      <c r="B68" s="212" t="s">
        <v>457</v>
      </c>
      <c r="C68" s="343">
        <v>0.2</v>
      </c>
      <c r="D68" s="343">
        <v>0.2</v>
      </c>
      <c r="E68" s="343">
        <v>0.2</v>
      </c>
      <c r="F68" s="343">
        <v>0.25</v>
      </c>
      <c r="G68" s="343">
        <v>0.25</v>
      </c>
      <c r="H68" s="343">
        <v>0.25</v>
      </c>
      <c r="I68" s="346"/>
      <c r="J68" s="346"/>
      <c r="K68" s="2"/>
      <c r="L68" s="528">
        <v>6</v>
      </c>
      <c r="M68" s="212" t="s">
        <v>457</v>
      </c>
      <c r="N68" s="343">
        <v>0.2</v>
      </c>
      <c r="O68" s="343">
        <v>0.2</v>
      </c>
      <c r="P68" s="343">
        <v>0.2</v>
      </c>
      <c r="Q68" s="343">
        <v>0.25</v>
      </c>
      <c r="R68" s="343">
        <v>0.25</v>
      </c>
      <c r="S68" s="343">
        <v>0.25</v>
      </c>
      <c r="T68" s="346"/>
      <c r="U68" s="346"/>
    </row>
    <row r="69" spans="1:21" x14ac:dyDescent="0.5">
      <c r="A69" s="552"/>
      <c r="B69" s="212" t="s">
        <v>458</v>
      </c>
      <c r="C69" s="343">
        <v>0.3</v>
      </c>
      <c r="D69" s="343">
        <v>0.35</v>
      </c>
      <c r="E69" s="343">
        <v>0.4</v>
      </c>
      <c r="F69" s="343">
        <v>0.4</v>
      </c>
      <c r="G69" s="343">
        <v>0.45</v>
      </c>
      <c r="H69" s="343">
        <v>0.5</v>
      </c>
      <c r="I69" s="346"/>
      <c r="J69" s="346"/>
      <c r="K69" s="2"/>
      <c r="L69" s="552"/>
      <c r="M69" s="212" t="s">
        <v>458</v>
      </c>
      <c r="N69" s="343">
        <v>0.3</v>
      </c>
      <c r="O69" s="343">
        <v>0.35</v>
      </c>
      <c r="P69" s="343">
        <v>0.4</v>
      </c>
      <c r="Q69" s="343">
        <v>0.4</v>
      </c>
      <c r="R69" s="343">
        <v>0.45</v>
      </c>
      <c r="S69" s="343">
        <v>0.5</v>
      </c>
      <c r="T69" s="346"/>
      <c r="U69" s="346"/>
    </row>
    <row r="70" spans="1:21" x14ac:dyDescent="0.5">
      <c r="A70" s="529"/>
      <c r="B70" s="212" t="s">
        <v>459</v>
      </c>
      <c r="C70" s="343">
        <v>6</v>
      </c>
      <c r="D70" s="343">
        <v>4</v>
      </c>
      <c r="E70" s="343">
        <v>12</v>
      </c>
      <c r="F70" s="343">
        <v>16</v>
      </c>
      <c r="G70" s="343">
        <v>20</v>
      </c>
      <c r="H70" s="343">
        <v>20</v>
      </c>
      <c r="I70" s="347">
        <f>+SUM(C70:H70)</f>
        <v>78</v>
      </c>
      <c r="J70" s="346" t="s">
        <v>16</v>
      </c>
      <c r="K70" s="2"/>
      <c r="L70" s="529"/>
      <c r="M70" s="212" t="s">
        <v>459</v>
      </c>
      <c r="N70" s="343">
        <v>6</v>
      </c>
      <c r="O70" s="343">
        <v>4</v>
      </c>
      <c r="P70" s="343">
        <v>12</v>
      </c>
      <c r="Q70" s="343">
        <v>16</v>
      </c>
      <c r="R70" s="343">
        <v>20</v>
      </c>
      <c r="S70" s="343">
        <v>20</v>
      </c>
      <c r="T70" s="347">
        <f>+SUM(N70:S70)</f>
        <v>78</v>
      </c>
      <c r="U70" s="346" t="s">
        <v>16</v>
      </c>
    </row>
    <row r="71" spans="1:21" x14ac:dyDescent="0.5">
      <c r="A71" s="215" t="s">
        <v>83</v>
      </c>
      <c r="B71" s="212" t="s">
        <v>431</v>
      </c>
      <c r="C71" s="213">
        <f t="shared" ref="C71:H71" si="48">+C68*C69*C70*2400</f>
        <v>864</v>
      </c>
      <c r="D71" s="213">
        <f t="shared" si="48"/>
        <v>671.99999999999989</v>
      </c>
      <c r="E71" s="213">
        <f t="shared" si="48"/>
        <v>2304.0000000000005</v>
      </c>
      <c r="F71" s="213">
        <f t="shared" si="48"/>
        <v>3840</v>
      </c>
      <c r="G71" s="213">
        <f t="shared" si="48"/>
        <v>5400</v>
      </c>
      <c r="H71" s="213">
        <f t="shared" si="48"/>
        <v>6000</v>
      </c>
      <c r="I71" s="348">
        <f>+SUM(C71:H71)</f>
        <v>19080</v>
      </c>
      <c r="J71" s="237" t="s">
        <v>439</v>
      </c>
      <c r="K71" s="2"/>
      <c r="L71" s="215" t="s">
        <v>83</v>
      </c>
      <c r="M71" s="212" t="s">
        <v>431</v>
      </c>
      <c r="N71" s="213">
        <f t="shared" ref="N71:S71" si="49">+N68*N69*N70*2400</f>
        <v>864</v>
      </c>
      <c r="O71" s="213">
        <f t="shared" si="49"/>
        <v>671.99999999999989</v>
      </c>
      <c r="P71" s="213">
        <f t="shared" si="49"/>
        <v>2304.0000000000005</v>
      </c>
      <c r="Q71" s="213">
        <f t="shared" si="49"/>
        <v>3840</v>
      </c>
      <c r="R71" s="213">
        <f t="shared" si="49"/>
        <v>5400</v>
      </c>
      <c r="S71" s="213">
        <f t="shared" si="49"/>
        <v>6000</v>
      </c>
      <c r="T71" s="348">
        <f>+SUM(N71:S71)</f>
        <v>19080</v>
      </c>
      <c r="U71" s="237" t="s">
        <v>439</v>
      </c>
    </row>
    <row r="72" spans="1:21" x14ac:dyDescent="0.5">
      <c r="A72" s="350" t="s">
        <v>22</v>
      </c>
      <c r="B72" s="342" t="s">
        <v>463</v>
      </c>
      <c r="C72" s="343" t="s">
        <v>432</v>
      </c>
      <c r="D72" s="343" t="s">
        <v>433</v>
      </c>
      <c r="E72" s="343" t="s">
        <v>434</v>
      </c>
      <c r="F72" s="343" t="s">
        <v>435</v>
      </c>
      <c r="G72" s="343" t="s">
        <v>436</v>
      </c>
      <c r="H72" s="343" t="s">
        <v>437</v>
      </c>
      <c r="I72" s="349"/>
      <c r="J72" s="349"/>
      <c r="K72" s="2"/>
      <c r="L72" s="350" t="s">
        <v>22</v>
      </c>
      <c r="M72" s="342" t="s">
        <v>463</v>
      </c>
      <c r="N72" s="343" t="s">
        <v>432</v>
      </c>
      <c r="O72" s="343" t="s">
        <v>433</v>
      </c>
      <c r="P72" s="343" t="s">
        <v>434</v>
      </c>
      <c r="Q72" s="343" t="s">
        <v>435</v>
      </c>
      <c r="R72" s="343" t="s">
        <v>436</v>
      </c>
      <c r="S72" s="343" t="s">
        <v>437</v>
      </c>
      <c r="T72" s="349"/>
      <c r="U72" s="349"/>
    </row>
    <row r="73" spans="1:21" x14ac:dyDescent="0.5">
      <c r="A73" s="528">
        <v>5</v>
      </c>
      <c r="B73" s="212" t="s">
        <v>421</v>
      </c>
      <c r="C73" s="343">
        <v>0.2</v>
      </c>
      <c r="D73" s="343">
        <v>0.2</v>
      </c>
      <c r="E73" s="343">
        <v>0.2</v>
      </c>
      <c r="F73" s="343">
        <v>0.4</v>
      </c>
      <c r="G73" s="343">
        <v>0.25</v>
      </c>
      <c r="H73" s="343">
        <v>0.5</v>
      </c>
      <c r="I73" s="346"/>
      <c r="J73" s="346"/>
      <c r="K73" s="2"/>
      <c r="L73" s="528">
        <v>6</v>
      </c>
      <c r="M73" s="212" t="s">
        <v>421</v>
      </c>
      <c r="N73" s="343">
        <v>0.2</v>
      </c>
      <c r="O73" s="343">
        <v>0.2</v>
      </c>
      <c r="P73" s="343">
        <v>0.2</v>
      </c>
      <c r="Q73" s="343">
        <v>0.4</v>
      </c>
      <c r="R73" s="343">
        <v>0.25</v>
      </c>
      <c r="S73" s="343">
        <v>0.5</v>
      </c>
      <c r="T73" s="346"/>
      <c r="U73" s="346"/>
    </row>
    <row r="74" spans="1:21" x14ac:dyDescent="0.5">
      <c r="A74" s="552"/>
      <c r="B74" s="212" t="s">
        <v>422</v>
      </c>
      <c r="C74" s="343">
        <v>0.2</v>
      </c>
      <c r="D74" s="343">
        <v>0.35</v>
      </c>
      <c r="E74" s="343">
        <v>0.4</v>
      </c>
      <c r="F74" s="343">
        <v>0.4</v>
      </c>
      <c r="G74" s="343">
        <v>0.25</v>
      </c>
      <c r="H74" s="343">
        <v>0.5</v>
      </c>
      <c r="I74" s="346"/>
      <c r="J74" s="346"/>
      <c r="K74" s="2"/>
      <c r="L74" s="552"/>
      <c r="M74" s="212" t="s">
        <v>422</v>
      </c>
      <c r="N74" s="343">
        <v>0.2</v>
      </c>
      <c r="O74" s="343">
        <v>0.35</v>
      </c>
      <c r="P74" s="343">
        <v>0.4</v>
      </c>
      <c r="Q74" s="343">
        <v>0.4</v>
      </c>
      <c r="R74" s="343">
        <v>0.25</v>
      </c>
      <c r="S74" s="343">
        <v>0.5</v>
      </c>
      <c r="T74" s="346"/>
      <c r="U74" s="346"/>
    </row>
    <row r="75" spans="1:21" x14ac:dyDescent="0.5">
      <c r="A75" s="529"/>
      <c r="B75" s="212" t="s">
        <v>438</v>
      </c>
      <c r="C75" s="343">
        <v>6</v>
      </c>
      <c r="D75" s="343">
        <v>4</v>
      </c>
      <c r="E75" s="343">
        <v>12</v>
      </c>
      <c r="F75" s="343">
        <v>16</v>
      </c>
      <c r="G75" s="343">
        <v>20</v>
      </c>
      <c r="H75" s="343">
        <v>20</v>
      </c>
      <c r="I75" s="347">
        <f>+SUM(C75:H75)</f>
        <v>78</v>
      </c>
      <c r="J75" s="346" t="s">
        <v>440</v>
      </c>
      <c r="K75" s="2"/>
      <c r="L75" s="529"/>
      <c r="M75" s="212" t="s">
        <v>438</v>
      </c>
      <c r="N75" s="343">
        <v>6</v>
      </c>
      <c r="O75" s="343">
        <v>4</v>
      </c>
      <c r="P75" s="343">
        <v>12</v>
      </c>
      <c r="Q75" s="343">
        <v>16</v>
      </c>
      <c r="R75" s="343">
        <v>20</v>
      </c>
      <c r="S75" s="343">
        <v>20</v>
      </c>
      <c r="T75" s="347">
        <f>+SUM(N75:S75)</f>
        <v>78</v>
      </c>
      <c r="U75" s="346" t="s">
        <v>440</v>
      </c>
    </row>
    <row r="76" spans="1:21" x14ac:dyDescent="0.5">
      <c r="A76" s="215" t="s">
        <v>83</v>
      </c>
      <c r="B76" s="212" t="s">
        <v>431</v>
      </c>
      <c r="C76" s="213">
        <f t="shared" ref="C76:H76" si="50">+C73*C74*C75*2400</f>
        <v>576.00000000000011</v>
      </c>
      <c r="D76" s="213">
        <f t="shared" si="50"/>
        <v>671.99999999999989</v>
      </c>
      <c r="E76" s="213">
        <f t="shared" si="50"/>
        <v>2304.0000000000005</v>
      </c>
      <c r="F76" s="213">
        <f t="shared" si="50"/>
        <v>6144.0000000000009</v>
      </c>
      <c r="G76" s="213">
        <f t="shared" si="50"/>
        <v>3000</v>
      </c>
      <c r="H76" s="213">
        <f t="shared" si="50"/>
        <v>12000</v>
      </c>
      <c r="I76" s="348">
        <f>+SUM(C76:H76)</f>
        <v>24696</v>
      </c>
      <c r="J76" s="237" t="s">
        <v>441</v>
      </c>
      <c r="K76" s="2"/>
      <c r="L76" s="215" t="s">
        <v>83</v>
      </c>
      <c r="M76" s="212" t="s">
        <v>431</v>
      </c>
      <c r="N76" s="213">
        <f t="shared" ref="N76:S76" si="51">+N73*N74*N75*2400</f>
        <v>576.00000000000011</v>
      </c>
      <c r="O76" s="213">
        <f t="shared" si="51"/>
        <v>671.99999999999989</v>
      </c>
      <c r="P76" s="213">
        <f t="shared" si="51"/>
        <v>2304.0000000000005</v>
      </c>
      <c r="Q76" s="213">
        <f t="shared" si="51"/>
        <v>6144.0000000000009</v>
      </c>
      <c r="R76" s="213">
        <f t="shared" si="51"/>
        <v>3000</v>
      </c>
      <c r="S76" s="213">
        <f t="shared" si="51"/>
        <v>12000</v>
      </c>
      <c r="T76" s="348">
        <f>+SUM(N76:S76)</f>
        <v>24696</v>
      </c>
      <c r="U76" s="237" t="s">
        <v>441</v>
      </c>
    </row>
    <row r="77" spans="1:21" x14ac:dyDescent="0.5">
      <c r="A77" s="350" t="s">
        <v>22</v>
      </c>
      <c r="B77" s="342" t="s">
        <v>464</v>
      </c>
      <c r="C77" s="343" t="s">
        <v>215</v>
      </c>
      <c r="D77" s="343" t="s">
        <v>442</v>
      </c>
      <c r="E77" s="343" t="s">
        <v>443</v>
      </c>
      <c r="F77" s="343" t="s">
        <v>444</v>
      </c>
      <c r="G77" s="343" t="s">
        <v>445</v>
      </c>
      <c r="H77" s="343" t="s">
        <v>446</v>
      </c>
      <c r="I77" s="349"/>
      <c r="J77" s="349"/>
      <c r="K77" s="2"/>
      <c r="L77" s="350" t="s">
        <v>22</v>
      </c>
      <c r="M77" s="342" t="s">
        <v>464</v>
      </c>
      <c r="N77" s="343" t="s">
        <v>215</v>
      </c>
      <c r="O77" s="343" t="s">
        <v>442</v>
      </c>
      <c r="P77" s="343" t="s">
        <v>443</v>
      </c>
      <c r="Q77" s="343" t="s">
        <v>444</v>
      </c>
      <c r="R77" s="343" t="s">
        <v>445</v>
      </c>
      <c r="S77" s="343" t="s">
        <v>446</v>
      </c>
      <c r="T77" s="349"/>
      <c r="U77" s="349"/>
    </row>
    <row r="78" spans="1:21" x14ac:dyDescent="0.5">
      <c r="A78" s="528">
        <v>5</v>
      </c>
      <c r="B78" s="212" t="s">
        <v>460</v>
      </c>
      <c r="C78" s="343">
        <v>0.2</v>
      </c>
      <c r="D78" s="343">
        <v>0.17499999999999999</v>
      </c>
      <c r="E78" s="343">
        <v>0.25</v>
      </c>
      <c r="F78" s="343">
        <v>0.125</v>
      </c>
      <c r="G78" s="343">
        <v>0.15</v>
      </c>
      <c r="H78" s="343">
        <v>0.1</v>
      </c>
      <c r="I78" s="346"/>
      <c r="J78" s="346"/>
      <c r="K78" s="2"/>
      <c r="L78" s="528">
        <v>6</v>
      </c>
      <c r="M78" s="212" t="s">
        <v>460</v>
      </c>
      <c r="N78" s="343">
        <v>0.2</v>
      </c>
      <c r="O78" s="343">
        <v>0.17499999999999999</v>
      </c>
      <c r="P78" s="343">
        <v>0.25</v>
      </c>
      <c r="Q78" s="343">
        <v>0.125</v>
      </c>
      <c r="R78" s="343">
        <v>0.15</v>
      </c>
      <c r="S78" s="343">
        <v>0.1</v>
      </c>
      <c r="T78" s="346"/>
      <c r="U78" s="346"/>
    </row>
    <row r="79" spans="1:21" x14ac:dyDescent="0.5">
      <c r="A79" s="552"/>
      <c r="B79" s="212" t="s">
        <v>461</v>
      </c>
      <c r="C79" s="343">
        <v>12</v>
      </c>
      <c r="D79" s="343">
        <v>16</v>
      </c>
      <c r="E79" s="343">
        <v>18</v>
      </c>
      <c r="F79" s="343">
        <v>18</v>
      </c>
      <c r="G79" s="343">
        <v>20</v>
      </c>
      <c r="H79" s="343">
        <v>15</v>
      </c>
      <c r="I79" s="347">
        <f>+SUM(C79:H79)</f>
        <v>99</v>
      </c>
      <c r="J79" s="346" t="s">
        <v>447</v>
      </c>
      <c r="K79" s="2"/>
      <c r="L79" s="552"/>
      <c r="M79" s="212" t="s">
        <v>461</v>
      </c>
      <c r="N79" s="343">
        <v>12</v>
      </c>
      <c r="O79" s="343">
        <v>16</v>
      </c>
      <c r="P79" s="343">
        <v>18</v>
      </c>
      <c r="Q79" s="343">
        <v>18</v>
      </c>
      <c r="R79" s="343">
        <v>20</v>
      </c>
      <c r="S79" s="343">
        <v>15</v>
      </c>
      <c r="T79" s="347">
        <f>+SUM(N79:S79)</f>
        <v>99</v>
      </c>
      <c r="U79" s="346" t="s">
        <v>447</v>
      </c>
    </row>
    <row r="80" spans="1:21" x14ac:dyDescent="0.5">
      <c r="A80" s="344"/>
      <c r="B80" s="212" t="s">
        <v>462</v>
      </c>
      <c r="C80" s="343">
        <v>50</v>
      </c>
      <c r="D80" s="343">
        <v>50</v>
      </c>
      <c r="E80" s="343">
        <v>50</v>
      </c>
      <c r="F80" s="343">
        <v>50</v>
      </c>
      <c r="G80" s="343">
        <v>50</v>
      </c>
      <c r="H80" s="343">
        <v>50</v>
      </c>
      <c r="I80" s="347"/>
      <c r="J80" s="346"/>
      <c r="K80" s="2"/>
      <c r="L80" s="344"/>
      <c r="M80" s="212" t="s">
        <v>462</v>
      </c>
      <c r="N80" s="343">
        <v>50</v>
      </c>
      <c r="O80" s="343">
        <v>50</v>
      </c>
      <c r="P80" s="343">
        <v>50</v>
      </c>
      <c r="Q80" s="343">
        <v>50</v>
      </c>
      <c r="R80" s="343">
        <v>50</v>
      </c>
      <c r="S80" s="343">
        <v>50</v>
      </c>
      <c r="T80" s="347"/>
      <c r="U80" s="346"/>
    </row>
    <row r="81" spans="1:21" x14ac:dyDescent="0.5">
      <c r="A81" s="215" t="s">
        <v>83</v>
      </c>
      <c r="B81" s="212" t="s">
        <v>431</v>
      </c>
      <c r="C81" s="213">
        <f>+C78*C79*2400+(C80*C79)</f>
        <v>6360.0000000000009</v>
      </c>
      <c r="D81" s="213">
        <f t="shared" ref="D81" si="52">+D78*D79*2400+(D80*D79)</f>
        <v>7520</v>
      </c>
      <c r="E81" s="213">
        <f t="shared" ref="E81" si="53">+E78*E79*2400+(E80*E79)</f>
        <v>11700</v>
      </c>
      <c r="F81" s="213">
        <f t="shared" ref="F81" si="54">+F78*F79*2400+(F80*F79)</f>
        <v>6300</v>
      </c>
      <c r="G81" s="213">
        <f t="shared" ref="G81" si="55">+G78*G79*2400+(G80*G79)</f>
        <v>8200</v>
      </c>
      <c r="H81" s="213">
        <f t="shared" ref="H81" si="56">+H78*H79*2400+(H80*H79)</f>
        <v>4350</v>
      </c>
      <c r="I81" s="348">
        <f>+SUM(C81:H81)</f>
        <v>44430</v>
      </c>
      <c r="J81" s="237" t="s">
        <v>441</v>
      </c>
      <c r="K81" s="2"/>
      <c r="L81" s="215" t="s">
        <v>83</v>
      </c>
      <c r="M81" s="212" t="s">
        <v>431</v>
      </c>
      <c r="N81" s="213">
        <f>+N78*N79*2400+(N80*N79)</f>
        <v>6360.0000000000009</v>
      </c>
      <c r="O81" s="213">
        <f t="shared" ref="O81" si="57">+O78*O79*2400+(O80*O79)</f>
        <v>7520</v>
      </c>
      <c r="P81" s="213">
        <f t="shared" ref="P81" si="58">+P78*P79*2400+(P80*P79)</f>
        <v>11700</v>
      </c>
      <c r="Q81" s="213">
        <f t="shared" ref="Q81" si="59">+Q78*Q79*2400+(Q80*Q79)</f>
        <v>6300</v>
      </c>
      <c r="R81" s="213">
        <f t="shared" ref="R81" si="60">+R78*R79*2400+(R80*R79)</f>
        <v>8200</v>
      </c>
      <c r="S81" s="213">
        <f t="shared" ref="S81" si="61">+S78*S79*2400+(S80*S79)</f>
        <v>4350</v>
      </c>
      <c r="T81" s="348">
        <f>+SUM(N81:S81)</f>
        <v>44430</v>
      </c>
      <c r="U81" s="237" t="s">
        <v>441</v>
      </c>
    </row>
    <row r="82" spans="1:21" x14ac:dyDescent="0.5">
      <c r="A82" s="350" t="s">
        <v>22</v>
      </c>
      <c r="B82" s="342" t="s">
        <v>465</v>
      </c>
      <c r="C82" s="343" t="s">
        <v>450</v>
      </c>
      <c r="D82" s="343" t="s">
        <v>451</v>
      </c>
      <c r="E82" s="343" t="s">
        <v>452</v>
      </c>
      <c r="F82" s="343" t="s">
        <v>453</v>
      </c>
      <c r="G82" s="343" t="s">
        <v>453</v>
      </c>
      <c r="H82" s="343" t="s">
        <v>454</v>
      </c>
      <c r="I82" s="349"/>
      <c r="J82" s="349"/>
      <c r="K82" s="2"/>
      <c r="L82" s="350" t="s">
        <v>22</v>
      </c>
      <c r="M82" s="342" t="s">
        <v>465</v>
      </c>
      <c r="N82" s="343" t="s">
        <v>450</v>
      </c>
      <c r="O82" s="343" t="s">
        <v>451</v>
      </c>
      <c r="P82" s="343" t="s">
        <v>452</v>
      </c>
      <c r="Q82" s="343" t="s">
        <v>453</v>
      </c>
      <c r="R82" s="343" t="s">
        <v>453</v>
      </c>
      <c r="S82" s="343" t="s">
        <v>454</v>
      </c>
      <c r="T82" s="349"/>
      <c r="U82" s="349"/>
    </row>
    <row r="83" spans="1:21" x14ac:dyDescent="0.5">
      <c r="A83" s="528">
        <v>5</v>
      </c>
      <c r="B83" s="212" t="s">
        <v>448</v>
      </c>
      <c r="C83" s="343">
        <v>3</v>
      </c>
      <c r="D83" s="343">
        <v>3</v>
      </c>
      <c r="E83" s="343">
        <v>3</v>
      </c>
      <c r="F83" s="343">
        <v>3</v>
      </c>
      <c r="G83" s="343">
        <v>3</v>
      </c>
      <c r="H83" s="343">
        <v>3</v>
      </c>
      <c r="I83" s="346"/>
      <c r="J83" s="346"/>
      <c r="K83" s="2"/>
      <c r="L83" s="528">
        <v>6</v>
      </c>
      <c r="M83" s="212" t="s">
        <v>448</v>
      </c>
      <c r="N83" s="343">
        <v>3</v>
      </c>
      <c r="O83" s="343">
        <v>3</v>
      </c>
      <c r="P83" s="343">
        <v>3</v>
      </c>
      <c r="Q83" s="343">
        <v>3</v>
      </c>
      <c r="R83" s="343">
        <v>3</v>
      </c>
      <c r="S83" s="343">
        <v>3</v>
      </c>
      <c r="T83" s="346"/>
      <c r="U83" s="346"/>
    </row>
    <row r="84" spans="1:21" x14ac:dyDescent="0.5">
      <c r="A84" s="552"/>
      <c r="B84" s="212" t="s">
        <v>428</v>
      </c>
      <c r="C84" s="343">
        <v>5</v>
      </c>
      <c r="D84" s="343">
        <v>5</v>
      </c>
      <c r="E84" s="343">
        <v>5</v>
      </c>
      <c r="F84" s="343">
        <v>5</v>
      </c>
      <c r="G84" s="343">
        <v>5</v>
      </c>
      <c r="H84" s="343">
        <v>5</v>
      </c>
      <c r="I84" s="347">
        <f>+SUM(C84:H84)</f>
        <v>30</v>
      </c>
      <c r="J84" s="346" t="s">
        <v>16</v>
      </c>
      <c r="K84" s="2"/>
      <c r="L84" s="552"/>
      <c r="M84" s="212" t="s">
        <v>428</v>
      </c>
      <c r="N84" s="343">
        <v>5</v>
      </c>
      <c r="O84" s="343">
        <v>5</v>
      </c>
      <c r="P84" s="343">
        <v>5</v>
      </c>
      <c r="Q84" s="343">
        <v>5</v>
      </c>
      <c r="R84" s="343">
        <v>5</v>
      </c>
      <c r="S84" s="343">
        <v>5</v>
      </c>
      <c r="T84" s="347">
        <f>+SUM(N84:S84)</f>
        <v>30</v>
      </c>
      <c r="U84" s="346" t="s">
        <v>16</v>
      </c>
    </row>
    <row r="85" spans="1:21" x14ac:dyDescent="0.5">
      <c r="A85" s="529"/>
      <c r="B85" s="212" t="s">
        <v>449</v>
      </c>
      <c r="C85" s="343">
        <v>180</v>
      </c>
      <c r="D85" s="343">
        <v>180</v>
      </c>
      <c r="E85" s="343">
        <v>180</v>
      </c>
      <c r="F85" s="343">
        <v>180</v>
      </c>
      <c r="G85" s="343">
        <v>180</v>
      </c>
      <c r="H85" s="343">
        <v>180</v>
      </c>
      <c r="I85" s="346"/>
      <c r="J85" s="346"/>
      <c r="K85" s="2"/>
      <c r="L85" s="529"/>
      <c r="M85" s="212" t="s">
        <v>449</v>
      </c>
      <c r="N85" s="343">
        <v>180</v>
      </c>
      <c r="O85" s="343">
        <v>180</v>
      </c>
      <c r="P85" s="343">
        <v>180</v>
      </c>
      <c r="Q85" s="343">
        <v>180</v>
      </c>
      <c r="R85" s="343">
        <v>180</v>
      </c>
      <c r="S85" s="343">
        <v>180</v>
      </c>
      <c r="T85" s="346"/>
      <c r="U85" s="346"/>
    </row>
    <row r="86" spans="1:21" x14ac:dyDescent="0.5">
      <c r="A86" s="215" t="s">
        <v>83</v>
      </c>
      <c r="B86" s="212" t="s">
        <v>431</v>
      </c>
      <c r="C86" s="213">
        <f>+C83*C84*C85</f>
        <v>2700</v>
      </c>
      <c r="D86" s="213">
        <f t="shared" ref="D86" si="62">+D83*D84*D85</f>
        <v>2700</v>
      </c>
      <c r="E86" s="213">
        <f t="shared" ref="E86" si="63">+E83*E84*E85</f>
        <v>2700</v>
      </c>
      <c r="F86" s="213">
        <f t="shared" ref="F86" si="64">+F83*F84*F85</f>
        <v>2700</v>
      </c>
      <c r="G86" s="213">
        <f t="shared" ref="G86" si="65">+G83*G84*G85</f>
        <v>2700</v>
      </c>
      <c r="H86" s="213">
        <f t="shared" ref="H86" si="66">+H83*H84*H85</f>
        <v>2700</v>
      </c>
      <c r="I86" s="348">
        <f>+SUM(C86:H86)</f>
        <v>16200</v>
      </c>
      <c r="J86" s="237" t="s">
        <v>441</v>
      </c>
      <c r="K86" s="2"/>
      <c r="L86" s="215" t="s">
        <v>83</v>
      </c>
      <c r="M86" s="212" t="s">
        <v>431</v>
      </c>
      <c r="N86" s="213">
        <f>+N83*N84*N85</f>
        <v>2700</v>
      </c>
      <c r="O86" s="213">
        <f t="shared" ref="O86" si="67">+O83*O84*O85</f>
        <v>2700</v>
      </c>
      <c r="P86" s="213">
        <f t="shared" ref="P86" si="68">+P83*P84*P85</f>
        <v>2700</v>
      </c>
      <c r="Q86" s="213">
        <f t="shared" ref="Q86" si="69">+Q83*Q84*Q85</f>
        <v>2700</v>
      </c>
      <c r="R86" s="213">
        <f t="shared" ref="R86" si="70">+R83*R84*R85</f>
        <v>2700</v>
      </c>
      <c r="S86" s="213">
        <f t="shared" ref="S86" si="71">+S83*S84*S85</f>
        <v>2700</v>
      </c>
      <c r="T86" s="348">
        <f>+SUM(N86:S86)</f>
        <v>16200</v>
      </c>
      <c r="U86" s="237" t="s">
        <v>441</v>
      </c>
    </row>
    <row r="87" spans="1:21" x14ac:dyDescent="0.5">
      <c r="A87" s="350" t="s">
        <v>22</v>
      </c>
      <c r="B87" s="342" t="s">
        <v>466</v>
      </c>
      <c r="C87" s="343" t="s">
        <v>455</v>
      </c>
      <c r="D87" s="343" t="s">
        <v>451</v>
      </c>
      <c r="E87" s="343" t="s">
        <v>452</v>
      </c>
      <c r="F87" s="343" t="s">
        <v>453</v>
      </c>
      <c r="G87" s="343" t="s">
        <v>453</v>
      </c>
      <c r="H87" s="343" t="s">
        <v>454</v>
      </c>
      <c r="I87" s="349"/>
      <c r="J87" s="349"/>
      <c r="K87" s="2"/>
      <c r="L87" s="350" t="s">
        <v>22</v>
      </c>
      <c r="M87" s="342" t="s">
        <v>466</v>
      </c>
      <c r="N87" s="343" t="s">
        <v>455</v>
      </c>
      <c r="O87" s="343" t="s">
        <v>451</v>
      </c>
      <c r="P87" s="343" t="s">
        <v>452</v>
      </c>
      <c r="Q87" s="343" t="s">
        <v>453</v>
      </c>
      <c r="R87" s="343" t="s">
        <v>453</v>
      </c>
      <c r="S87" s="343" t="s">
        <v>454</v>
      </c>
      <c r="T87" s="349"/>
      <c r="U87" s="349"/>
    </row>
    <row r="88" spans="1:21" x14ac:dyDescent="0.5">
      <c r="A88" s="528">
        <v>5</v>
      </c>
      <c r="B88" s="212" t="s">
        <v>448</v>
      </c>
      <c r="C88" s="343">
        <v>3</v>
      </c>
      <c r="D88" s="343">
        <v>3</v>
      </c>
      <c r="E88" s="343">
        <v>3</v>
      </c>
      <c r="F88" s="343">
        <v>3</v>
      </c>
      <c r="G88" s="343">
        <v>3</v>
      </c>
      <c r="H88" s="343">
        <v>3</v>
      </c>
      <c r="I88" s="346"/>
      <c r="J88" s="346"/>
      <c r="K88" s="2"/>
      <c r="L88" s="528">
        <v>6</v>
      </c>
      <c r="M88" s="212" t="s">
        <v>448</v>
      </c>
      <c r="N88" s="343">
        <v>3</v>
      </c>
      <c r="O88" s="343">
        <v>3</v>
      </c>
      <c r="P88" s="343">
        <v>3</v>
      </c>
      <c r="Q88" s="343">
        <v>3</v>
      </c>
      <c r="R88" s="343">
        <v>3</v>
      </c>
      <c r="S88" s="343">
        <v>3</v>
      </c>
      <c r="T88" s="346"/>
      <c r="U88" s="346"/>
    </row>
    <row r="89" spans="1:21" x14ac:dyDescent="0.5">
      <c r="A89" s="552"/>
      <c r="B89" s="212" t="s">
        <v>428</v>
      </c>
      <c r="C89" s="343">
        <v>5</v>
      </c>
      <c r="D89" s="343">
        <v>5</v>
      </c>
      <c r="E89" s="343">
        <v>5</v>
      </c>
      <c r="F89" s="343">
        <v>5</v>
      </c>
      <c r="G89" s="343">
        <v>5</v>
      </c>
      <c r="H89" s="343">
        <v>5</v>
      </c>
      <c r="I89" s="347">
        <f>+SUM(C89:H89)</f>
        <v>30</v>
      </c>
      <c r="J89" s="346" t="s">
        <v>16</v>
      </c>
      <c r="K89" s="2"/>
      <c r="L89" s="552"/>
      <c r="M89" s="212" t="s">
        <v>428</v>
      </c>
      <c r="N89" s="343">
        <v>5</v>
      </c>
      <c r="O89" s="343">
        <v>5</v>
      </c>
      <c r="P89" s="343">
        <v>5</v>
      </c>
      <c r="Q89" s="343">
        <v>5</v>
      </c>
      <c r="R89" s="343">
        <v>5</v>
      </c>
      <c r="S89" s="343">
        <v>5</v>
      </c>
      <c r="T89" s="347">
        <f>+SUM(N89:S89)</f>
        <v>30</v>
      </c>
      <c r="U89" s="346" t="s">
        <v>16</v>
      </c>
    </row>
    <row r="90" spans="1:21" x14ac:dyDescent="0.5">
      <c r="A90" s="529"/>
      <c r="B90" s="212" t="s">
        <v>456</v>
      </c>
      <c r="C90" s="343">
        <v>0.2</v>
      </c>
      <c r="D90" s="343">
        <v>0.2</v>
      </c>
      <c r="E90" s="343">
        <v>0.2</v>
      </c>
      <c r="F90" s="343">
        <v>0.2</v>
      </c>
      <c r="G90" s="343">
        <v>0.2</v>
      </c>
      <c r="H90" s="343">
        <v>0.2</v>
      </c>
      <c r="I90" s="346"/>
      <c r="J90" s="346"/>
      <c r="K90" s="2"/>
      <c r="L90" s="529"/>
      <c r="M90" s="212" t="s">
        <v>456</v>
      </c>
      <c r="N90" s="343">
        <v>0.2</v>
      </c>
      <c r="O90" s="343">
        <v>0.2</v>
      </c>
      <c r="P90" s="343">
        <v>0.2</v>
      </c>
      <c r="Q90" s="343">
        <v>0.2</v>
      </c>
      <c r="R90" s="343">
        <v>0.2</v>
      </c>
      <c r="S90" s="343">
        <v>0.2</v>
      </c>
      <c r="T90" s="346"/>
      <c r="U90" s="346"/>
    </row>
    <row r="91" spans="1:21" x14ac:dyDescent="0.5">
      <c r="A91" s="215" t="s">
        <v>83</v>
      </c>
      <c r="B91" s="212" t="s">
        <v>431</v>
      </c>
      <c r="C91" s="213">
        <f t="shared" ref="C91:H91" si="72">+C90*C88*C89*2400</f>
        <v>7200.0000000000009</v>
      </c>
      <c r="D91" s="213">
        <f t="shared" si="72"/>
        <v>7200.0000000000009</v>
      </c>
      <c r="E91" s="213">
        <f t="shared" si="72"/>
        <v>7200.0000000000009</v>
      </c>
      <c r="F91" s="213">
        <f t="shared" si="72"/>
        <v>7200.0000000000009</v>
      </c>
      <c r="G91" s="213">
        <f t="shared" si="72"/>
        <v>7200.0000000000009</v>
      </c>
      <c r="H91" s="213">
        <f t="shared" si="72"/>
        <v>7200.0000000000009</v>
      </c>
      <c r="I91" s="348">
        <f>+SUM(C91:H91)</f>
        <v>43200.000000000007</v>
      </c>
      <c r="J91" s="237" t="s">
        <v>441</v>
      </c>
      <c r="K91" s="2"/>
      <c r="L91" s="215" t="s">
        <v>83</v>
      </c>
      <c r="M91" s="212" t="s">
        <v>431</v>
      </c>
      <c r="N91" s="213">
        <f t="shared" ref="N91:S91" si="73">+N90*N88*N89*2400</f>
        <v>7200.0000000000009</v>
      </c>
      <c r="O91" s="213">
        <f t="shared" si="73"/>
        <v>7200.0000000000009</v>
      </c>
      <c r="P91" s="213">
        <f t="shared" si="73"/>
        <v>7200.0000000000009</v>
      </c>
      <c r="Q91" s="213">
        <f t="shared" si="73"/>
        <v>7200.0000000000009</v>
      </c>
      <c r="R91" s="213">
        <f t="shared" si="73"/>
        <v>7200.0000000000009</v>
      </c>
      <c r="S91" s="213">
        <f t="shared" si="73"/>
        <v>7200.0000000000009</v>
      </c>
      <c r="T91" s="348">
        <f>+SUM(N91:S91)</f>
        <v>43200.000000000007</v>
      </c>
      <c r="U91" s="237" t="s">
        <v>441</v>
      </c>
    </row>
    <row r="92" spans="1:21" x14ac:dyDescent="0.5">
      <c r="A92" s="350" t="s">
        <v>22</v>
      </c>
      <c r="B92" s="342" t="s">
        <v>467</v>
      </c>
      <c r="C92" s="343" t="s">
        <v>424</v>
      </c>
      <c r="D92" s="343" t="s">
        <v>425</v>
      </c>
      <c r="E92" s="343" t="s">
        <v>426</v>
      </c>
      <c r="F92" s="343" t="s">
        <v>427</v>
      </c>
      <c r="G92" s="343" t="s">
        <v>429</v>
      </c>
      <c r="H92" s="343" t="s">
        <v>430</v>
      </c>
      <c r="I92" s="349"/>
      <c r="J92" s="349"/>
      <c r="K92" s="2"/>
      <c r="L92" s="350" t="s">
        <v>22</v>
      </c>
      <c r="M92" s="342" t="s">
        <v>467</v>
      </c>
      <c r="N92" s="343" t="s">
        <v>424</v>
      </c>
      <c r="O92" s="343" t="s">
        <v>425</v>
      </c>
      <c r="P92" s="343" t="s">
        <v>426</v>
      </c>
      <c r="Q92" s="343" t="s">
        <v>427</v>
      </c>
      <c r="R92" s="343" t="s">
        <v>429</v>
      </c>
      <c r="S92" s="343" t="s">
        <v>430</v>
      </c>
      <c r="T92" s="349"/>
      <c r="U92" s="349"/>
    </row>
    <row r="93" spans="1:21" x14ac:dyDescent="0.5">
      <c r="A93" s="528">
        <v>5</v>
      </c>
      <c r="B93" s="212" t="s">
        <v>457</v>
      </c>
      <c r="C93" s="343">
        <v>0.2</v>
      </c>
      <c r="D93" s="343">
        <v>0.2</v>
      </c>
      <c r="E93" s="343">
        <v>0.2</v>
      </c>
      <c r="F93" s="343">
        <v>0.25</v>
      </c>
      <c r="G93" s="343">
        <v>0.25</v>
      </c>
      <c r="H93" s="343">
        <v>0.25</v>
      </c>
      <c r="I93" s="346"/>
      <c r="J93" s="346"/>
      <c r="K93" s="2"/>
      <c r="L93" s="528">
        <v>6</v>
      </c>
      <c r="M93" s="212" t="s">
        <v>457</v>
      </c>
      <c r="N93" s="343">
        <v>0.2</v>
      </c>
      <c r="O93" s="343">
        <v>0.2</v>
      </c>
      <c r="P93" s="343">
        <v>0.2</v>
      </c>
      <c r="Q93" s="343">
        <v>0.25</v>
      </c>
      <c r="R93" s="343">
        <v>0.25</v>
      </c>
      <c r="S93" s="343">
        <v>0.25</v>
      </c>
      <c r="T93" s="346"/>
      <c r="U93" s="346"/>
    </row>
    <row r="94" spans="1:21" x14ac:dyDescent="0.5">
      <c r="A94" s="552"/>
      <c r="B94" s="212" t="s">
        <v>458</v>
      </c>
      <c r="C94" s="343">
        <v>0.3</v>
      </c>
      <c r="D94" s="343">
        <v>0.35</v>
      </c>
      <c r="E94" s="343">
        <v>0.4</v>
      </c>
      <c r="F94" s="343">
        <v>0.4</v>
      </c>
      <c r="G94" s="343">
        <v>0.45</v>
      </c>
      <c r="H94" s="343">
        <v>0.5</v>
      </c>
      <c r="I94" s="346"/>
      <c r="J94" s="346"/>
      <c r="K94" s="2"/>
      <c r="L94" s="552"/>
      <c r="M94" s="212" t="s">
        <v>458</v>
      </c>
      <c r="N94" s="343">
        <v>0.3</v>
      </c>
      <c r="O94" s="343">
        <v>0.35</v>
      </c>
      <c r="P94" s="343">
        <v>0.4</v>
      </c>
      <c r="Q94" s="343">
        <v>0.4</v>
      </c>
      <c r="R94" s="343">
        <v>0.45</v>
      </c>
      <c r="S94" s="343">
        <v>0.5</v>
      </c>
      <c r="T94" s="346"/>
      <c r="U94" s="346"/>
    </row>
    <row r="95" spans="1:21" x14ac:dyDescent="0.5">
      <c r="A95" s="529"/>
      <c r="B95" s="212" t="s">
        <v>459</v>
      </c>
      <c r="C95" s="343">
        <v>3</v>
      </c>
      <c r="D95" s="343">
        <v>3</v>
      </c>
      <c r="E95" s="343">
        <v>3</v>
      </c>
      <c r="F95" s="343">
        <v>3</v>
      </c>
      <c r="G95" s="343">
        <v>3</v>
      </c>
      <c r="H95" s="343">
        <v>3</v>
      </c>
      <c r="I95" s="347">
        <f>+SUM(C95:H95)</f>
        <v>18</v>
      </c>
      <c r="J95" s="346" t="s">
        <v>16</v>
      </c>
      <c r="K95" s="2"/>
      <c r="L95" s="529"/>
      <c r="M95" s="212" t="s">
        <v>459</v>
      </c>
      <c r="N95" s="343">
        <v>3</v>
      </c>
      <c r="O95" s="343">
        <v>3</v>
      </c>
      <c r="P95" s="343">
        <v>3</v>
      </c>
      <c r="Q95" s="343">
        <v>3</v>
      </c>
      <c r="R95" s="343">
        <v>3</v>
      </c>
      <c r="S95" s="343">
        <v>3</v>
      </c>
      <c r="T95" s="347">
        <f>+SUM(N95:S95)</f>
        <v>18</v>
      </c>
      <c r="U95" s="346" t="s">
        <v>16</v>
      </c>
    </row>
    <row r="96" spans="1:21" x14ac:dyDescent="0.5">
      <c r="A96" s="215" t="s">
        <v>83</v>
      </c>
      <c r="B96" s="212" t="s">
        <v>431</v>
      </c>
      <c r="C96" s="213">
        <f t="shared" ref="C96:H96" si="74">+C93*C94*C95*2400</f>
        <v>432</v>
      </c>
      <c r="D96" s="213">
        <f t="shared" si="74"/>
        <v>503.99999999999989</v>
      </c>
      <c r="E96" s="213">
        <f t="shared" si="74"/>
        <v>576.00000000000011</v>
      </c>
      <c r="F96" s="213">
        <f t="shared" si="74"/>
        <v>720.00000000000011</v>
      </c>
      <c r="G96" s="213">
        <f t="shared" si="74"/>
        <v>810</v>
      </c>
      <c r="H96" s="213">
        <f t="shared" si="74"/>
        <v>900</v>
      </c>
      <c r="I96" s="348">
        <f>+SUM(C96:H96)</f>
        <v>3942</v>
      </c>
      <c r="J96" s="237" t="s">
        <v>441</v>
      </c>
      <c r="K96" s="2"/>
      <c r="L96" s="215" t="s">
        <v>83</v>
      </c>
      <c r="M96" s="212" t="s">
        <v>431</v>
      </c>
      <c r="N96" s="213">
        <f t="shared" ref="N96:S96" si="75">+N93*N94*N95*2400</f>
        <v>432</v>
      </c>
      <c r="O96" s="213">
        <f t="shared" si="75"/>
        <v>503.99999999999989</v>
      </c>
      <c r="P96" s="213">
        <f t="shared" si="75"/>
        <v>576.00000000000011</v>
      </c>
      <c r="Q96" s="213">
        <f t="shared" si="75"/>
        <v>720.00000000000011</v>
      </c>
      <c r="R96" s="213">
        <f t="shared" si="75"/>
        <v>810</v>
      </c>
      <c r="S96" s="213">
        <f t="shared" si="75"/>
        <v>900</v>
      </c>
      <c r="T96" s="348">
        <f>+SUM(N96:S96)</f>
        <v>3942</v>
      </c>
      <c r="U96" s="237" t="s">
        <v>441</v>
      </c>
    </row>
    <row r="97" spans="1:21" x14ac:dyDescent="0.5">
      <c r="A97" s="351"/>
      <c r="B97" s="352"/>
      <c r="C97" s="352"/>
      <c r="D97" s="352"/>
      <c r="E97" s="352"/>
      <c r="F97" s="352"/>
      <c r="G97" s="352"/>
      <c r="H97" s="352"/>
      <c r="I97" s="353">
        <f>+(I96+I91+I86+I81+I76+I71)/1000</f>
        <v>151.548</v>
      </c>
      <c r="J97" s="354" t="s">
        <v>468</v>
      </c>
      <c r="K97" s="2"/>
      <c r="L97" s="351"/>
      <c r="M97" s="352"/>
      <c r="N97" s="352"/>
      <c r="O97" s="352"/>
      <c r="P97" s="352"/>
      <c r="Q97" s="352"/>
      <c r="R97" s="352"/>
      <c r="S97" s="352"/>
      <c r="T97" s="353">
        <f>+(T96+T91+T86+T81+T76+T71)/1000</f>
        <v>151.548</v>
      </c>
      <c r="U97" s="354" t="s">
        <v>468</v>
      </c>
    </row>
    <row r="99" spans="1:21" x14ac:dyDescent="0.5">
      <c r="A99" s="350" t="s">
        <v>22</v>
      </c>
      <c r="B99" s="342" t="s">
        <v>423</v>
      </c>
      <c r="C99" s="343" t="s">
        <v>424</v>
      </c>
      <c r="D99" s="343" t="s">
        <v>425</v>
      </c>
      <c r="E99" s="343" t="s">
        <v>426</v>
      </c>
      <c r="F99" s="343" t="s">
        <v>427</v>
      </c>
      <c r="G99" s="343" t="s">
        <v>429</v>
      </c>
      <c r="H99" s="343" t="s">
        <v>430</v>
      </c>
      <c r="I99" s="345"/>
      <c r="J99" s="345"/>
      <c r="K99" s="2"/>
      <c r="L99" s="350" t="s">
        <v>22</v>
      </c>
      <c r="M99" s="342" t="s">
        <v>423</v>
      </c>
      <c r="N99" s="343" t="s">
        <v>424</v>
      </c>
      <c r="O99" s="343" t="s">
        <v>425</v>
      </c>
      <c r="P99" s="343" t="s">
        <v>426</v>
      </c>
      <c r="Q99" s="343" t="s">
        <v>427</v>
      </c>
      <c r="R99" s="343" t="s">
        <v>429</v>
      </c>
      <c r="S99" s="343" t="s">
        <v>430</v>
      </c>
      <c r="T99" s="345"/>
      <c r="U99" s="345"/>
    </row>
    <row r="100" spans="1:21" x14ac:dyDescent="0.5">
      <c r="A100" s="528">
        <v>7</v>
      </c>
      <c r="B100" s="212" t="s">
        <v>457</v>
      </c>
      <c r="C100" s="343">
        <v>0.2</v>
      </c>
      <c r="D100" s="343">
        <v>0.2</v>
      </c>
      <c r="E100" s="343">
        <v>0.2</v>
      </c>
      <c r="F100" s="343">
        <v>0.25</v>
      </c>
      <c r="G100" s="343">
        <v>0.25</v>
      </c>
      <c r="H100" s="343">
        <v>0.25</v>
      </c>
      <c r="I100" s="346"/>
      <c r="J100" s="346"/>
      <c r="K100" s="2"/>
      <c r="L100" s="528">
        <v>8</v>
      </c>
      <c r="M100" s="212" t="s">
        <v>457</v>
      </c>
      <c r="N100" s="343">
        <v>0.2</v>
      </c>
      <c r="O100" s="343">
        <v>0.2</v>
      </c>
      <c r="P100" s="343">
        <v>0.2</v>
      </c>
      <c r="Q100" s="343">
        <v>0.25</v>
      </c>
      <c r="R100" s="343">
        <v>0.25</v>
      </c>
      <c r="S100" s="343">
        <v>0.25</v>
      </c>
      <c r="T100" s="346"/>
      <c r="U100" s="346"/>
    </row>
    <row r="101" spans="1:21" x14ac:dyDescent="0.5">
      <c r="A101" s="552"/>
      <c r="B101" s="212" t="s">
        <v>458</v>
      </c>
      <c r="C101" s="343">
        <v>0.3</v>
      </c>
      <c r="D101" s="343">
        <v>0.35</v>
      </c>
      <c r="E101" s="343">
        <v>0.4</v>
      </c>
      <c r="F101" s="343">
        <v>0.4</v>
      </c>
      <c r="G101" s="343">
        <v>0.45</v>
      </c>
      <c r="H101" s="343">
        <v>0.5</v>
      </c>
      <c r="I101" s="346"/>
      <c r="J101" s="346"/>
      <c r="K101" s="2"/>
      <c r="L101" s="552"/>
      <c r="M101" s="212" t="s">
        <v>458</v>
      </c>
      <c r="N101" s="343">
        <v>0.3</v>
      </c>
      <c r="O101" s="343">
        <v>0.35</v>
      </c>
      <c r="P101" s="343">
        <v>0.4</v>
      </c>
      <c r="Q101" s="343">
        <v>0.4</v>
      </c>
      <c r="R101" s="343">
        <v>0.45</v>
      </c>
      <c r="S101" s="343">
        <v>0.5</v>
      </c>
      <c r="T101" s="346"/>
      <c r="U101" s="346"/>
    </row>
    <row r="102" spans="1:21" x14ac:dyDescent="0.5">
      <c r="A102" s="529"/>
      <c r="B102" s="212" t="s">
        <v>459</v>
      </c>
      <c r="C102" s="343">
        <v>6</v>
      </c>
      <c r="D102" s="343">
        <v>4</v>
      </c>
      <c r="E102" s="343">
        <v>12</v>
      </c>
      <c r="F102" s="343">
        <v>16</v>
      </c>
      <c r="G102" s="343">
        <v>20</v>
      </c>
      <c r="H102" s="343">
        <v>20</v>
      </c>
      <c r="I102" s="347">
        <f>+SUM(C102:H102)</f>
        <v>78</v>
      </c>
      <c r="J102" s="346" t="s">
        <v>16</v>
      </c>
      <c r="K102" s="2"/>
      <c r="L102" s="529"/>
      <c r="M102" s="212" t="s">
        <v>459</v>
      </c>
      <c r="N102" s="343">
        <v>6</v>
      </c>
      <c r="O102" s="343">
        <v>4</v>
      </c>
      <c r="P102" s="343">
        <v>12</v>
      </c>
      <c r="Q102" s="343">
        <v>16</v>
      </c>
      <c r="R102" s="343">
        <v>20</v>
      </c>
      <c r="S102" s="343">
        <v>20</v>
      </c>
      <c r="T102" s="347">
        <f>+SUM(N102:S102)</f>
        <v>78</v>
      </c>
      <c r="U102" s="346" t="s">
        <v>16</v>
      </c>
    </row>
    <row r="103" spans="1:21" x14ac:dyDescent="0.5">
      <c r="A103" s="215" t="s">
        <v>83</v>
      </c>
      <c r="B103" s="212" t="s">
        <v>431</v>
      </c>
      <c r="C103" s="213">
        <f t="shared" ref="C103:H103" si="76">+C100*C101*C102*2400</f>
        <v>864</v>
      </c>
      <c r="D103" s="213">
        <f t="shared" si="76"/>
        <v>671.99999999999989</v>
      </c>
      <c r="E103" s="213">
        <f t="shared" si="76"/>
        <v>2304.0000000000005</v>
      </c>
      <c r="F103" s="213">
        <f t="shared" si="76"/>
        <v>3840</v>
      </c>
      <c r="G103" s="213">
        <f t="shared" si="76"/>
        <v>5400</v>
      </c>
      <c r="H103" s="213">
        <f t="shared" si="76"/>
        <v>6000</v>
      </c>
      <c r="I103" s="348">
        <f>+SUM(C103:H103)</f>
        <v>19080</v>
      </c>
      <c r="J103" s="237" t="s">
        <v>439</v>
      </c>
      <c r="K103" s="2"/>
      <c r="L103" s="215" t="s">
        <v>83</v>
      </c>
      <c r="M103" s="212" t="s">
        <v>431</v>
      </c>
      <c r="N103" s="213">
        <f t="shared" ref="N103:S103" si="77">+N100*N101*N102*2400</f>
        <v>864</v>
      </c>
      <c r="O103" s="213">
        <f t="shared" si="77"/>
        <v>671.99999999999989</v>
      </c>
      <c r="P103" s="213">
        <f t="shared" si="77"/>
        <v>2304.0000000000005</v>
      </c>
      <c r="Q103" s="213">
        <f t="shared" si="77"/>
        <v>3840</v>
      </c>
      <c r="R103" s="213">
        <f t="shared" si="77"/>
        <v>5400</v>
      </c>
      <c r="S103" s="213">
        <f t="shared" si="77"/>
        <v>6000</v>
      </c>
      <c r="T103" s="348">
        <f>+SUM(N103:S103)</f>
        <v>19080</v>
      </c>
      <c r="U103" s="237" t="s">
        <v>439</v>
      </c>
    </row>
    <row r="104" spans="1:21" x14ac:dyDescent="0.5">
      <c r="A104" s="350" t="s">
        <v>22</v>
      </c>
      <c r="B104" s="342" t="s">
        <v>463</v>
      </c>
      <c r="C104" s="343" t="s">
        <v>432</v>
      </c>
      <c r="D104" s="343" t="s">
        <v>433</v>
      </c>
      <c r="E104" s="343" t="s">
        <v>434</v>
      </c>
      <c r="F104" s="343" t="s">
        <v>435</v>
      </c>
      <c r="G104" s="343" t="s">
        <v>436</v>
      </c>
      <c r="H104" s="343" t="s">
        <v>437</v>
      </c>
      <c r="I104" s="349"/>
      <c r="J104" s="349"/>
      <c r="K104" s="2"/>
      <c r="L104" s="350" t="s">
        <v>22</v>
      </c>
      <c r="M104" s="342" t="s">
        <v>463</v>
      </c>
      <c r="N104" s="343" t="s">
        <v>432</v>
      </c>
      <c r="O104" s="343" t="s">
        <v>433</v>
      </c>
      <c r="P104" s="343" t="s">
        <v>434</v>
      </c>
      <c r="Q104" s="343" t="s">
        <v>435</v>
      </c>
      <c r="R104" s="343" t="s">
        <v>436</v>
      </c>
      <c r="S104" s="343" t="s">
        <v>437</v>
      </c>
      <c r="T104" s="349"/>
      <c r="U104" s="349"/>
    </row>
    <row r="105" spans="1:21" x14ac:dyDescent="0.5">
      <c r="A105" s="528">
        <v>7</v>
      </c>
      <c r="B105" s="212" t="s">
        <v>421</v>
      </c>
      <c r="C105" s="343">
        <v>0.2</v>
      </c>
      <c r="D105" s="343">
        <v>0.2</v>
      </c>
      <c r="E105" s="343">
        <v>0.2</v>
      </c>
      <c r="F105" s="343">
        <v>0.4</v>
      </c>
      <c r="G105" s="343">
        <v>0.25</v>
      </c>
      <c r="H105" s="343">
        <v>0.5</v>
      </c>
      <c r="I105" s="346"/>
      <c r="J105" s="346"/>
      <c r="K105" s="2"/>
      <c r="L105" s="528">
        <v>8</v>
      </c>
      <c r="M105" s="212" t="s">
        <v>421</v>
      </c>
      <c r="N105" s="343">
        <v>0.2</v>
      </c>
      <c r="O105" s="343">
        <v>0.2</v>
      </c>
      <c r="P105" s="343">
        <v>0.2</v>
      </c>
      <c r="Q105" s="343">
        <v>0.4</v>
      </c>
      <c r="R105" s="343">
        <v>0.25</v>
      </c>
      <c r="S105" s="343">
        <v>0.5</v>
      </c>
      <c r="T105" s="346"/>
      <c r="U105" s="346"/>
    </row>
    <row r="106" spans="1:21" x14ac:dyDescent="0.5">
      <c r="A106" s="552"/>
      <c r="B106" s="212" t="s">
        <v>422</v>
      </c>
      <c r="C106" s="343">
        <v>0.2</v>
      </c>
      <c r="D106" s="343">
        <v>0.35</v>
      </c>
      <c r="E106" s="343">
        <v>0.4</v>
      </c>
      <c r="F106" s="343">
        <v>0.4</v>
      </c>
      <c r="G106" s="343">
        <v>0.25</v>
      </c>
      <c r="H106" s="343">
        <v>0.5</v>
      </c>
      <c r="I106" s="346"/>
      <c r="J106" s="346"/>
      <c r="K106" s="2"/>
      <c r="L106" s="552"/>
      <c r="M106" s="212" t="s">
        <v>422</v>
      </c>
      <c r="N106" s="343">
        <v>0.2</v>
      </c>
      <c r="O106" s="343">
        <v>0.35</v>
      </c>
      <c r="P106" s="343">
        <v>0.4</v>
      </c>
      <c r="Q106" s="343">
        <v>0.4</v>
      </c>
      <c r="R106" s="343">
        <v>0.25</v>
      </c>
      <c r="S106" s="343">
        <v>0.5</v>
      </c>
      <c r="T106" s="346"/>
      <c r="U106" s="346"/>
    </row>
    <row r="107" spans="1:21" x14ac:dyDescent="0.5">
      <c r="A107" s="529"/>
      <c r="B107" s="212" t="s">
        <v>438</v>
      </c>
      <c r="C107" s="343">
        <v>6</v>
      </c>
      <c r="D107" s="343">
        <v>4</v>
      </c>
      <c r="E107" s="343">
        <v>12</v>
      </c>
      <c r="F107" s="343">
        <v>16</v>
      </c>
      <c r="G107" s="343">
        <v>20</v>
      </c>
      <c r="H107" s="343">
        <v>20</v>
      </c>
      <c r="I107" s="347">
        <f>+SUM(C107:H107)</f>
        <v>78</v>
      </c>
      <c r="J107" s="346" t="s">
        <v>440</v>
      </c>
      <c r="K107" s="2"/>
      <c r="L107" s="529"/>
      <c r="M107" s="212" t="s">
        <v>438</v>
      </c>
      <c r="N107" s="343">
        <v>6</v>
      </c>
      <c r="O107" s="343">
        <v>4</v>
      </c>
      <c r="P107" s="343">
        <v>12</v>
      </c>
      <c r="Q107" s="343">
        <v>16</v>
      </c>
      <c r="R107" s="343">
        <v>20</v>
      </c>
      <c r="S107" s="343">
        <v>20</v>
      </c>
      <c r="T107" s="347">
        <f>+SUM(N107:S107)</f>
        <v>78</v>
      </c>
      <c r="U107" s="346" t="s">
        <v>440</v>
      </c>
    </row>
    <row r="108" spans="1:21" x14ac:dyDescent="0.5">
      <c r="A108" s="215" t="s">
        <v>83</v>
      </c>
      <c r="B108" s="212" t="s">
        <v>431</v>
      </c>
      <c r="C108" s="213">
        <f t="shared" ref="C108:H108" si="78">+C105*C106*C107*2400</f>
        <v>576.00000000000011</v>
      </c>
      <c r="D108" s="213">
        <f t="shared" si="78"/>
        <v>671.99999999999989</v>
      </c>
      <c r="E108" s="213">
        <f t="shared" si="78"/>
        <v>2304.0000000000005</v>
      </c>
      <c r="F108" s="213">
        <f t="shared" si="78"/>
        <v>6144.0000000000009</v>
      </c>
      <c r="G108" s="213">
        <f t="shared" si="78"/>
        <v>3000</v>
      </c>
      <c r="H108" s="213">
        <f t="shared" si="78"/>
        <v>12000</v>
      </c>
      <c r="I108" s="348">
        <f>+SUM(C108:H108)</f>
        <v>24696</v>
      </c>
      <c r="J108" s="237" t="s">
        <v>441</v>
      </c>
      <c r="K108" s="2"/>
      <c r="L108" s="215" t="s">
        <v>83</v>
      </c>
      <c r="M108" s="212" t="s">
        <v>431</v>
      </c>
      <c r="N108" s="213">
        <f t="shared" ref="N108:S108" si="79">+N105*N106*N107*2400</f>
        <v>576.00000000000011</v>
      </c>
      <c r="O108" s="213">
        <f t="shared" si="79"/>
        <v>671.99999999999989</v>
      </c>
      <c r="P108" s="213">
        <f t="shared" si="79"/>
        <v>2304.0000000000005</v>
      </c>
      <c r="Q108" s="213">
        <f t="shared" si="79"/>
        <v>6144.0000000000009</v>
      </c>
      <c r="R108" s="213">
        <f t="shared" si="79"/>
        <v>3000</v>
      </c>
      <c r="S108" s="213">
        <f t="shared" si="79"/>
        <v>12000</v>
      </c>
      <c r="T108" s="348">
        <f>+SUM(N108:S108)</f>
        <v>24696</v>
      </c>
      <c r="U108" s="237" t="s">
        <v>441</v>
      </c>
    </row>
    <row r="109" spans="1:21" x14ac:dyDescent="0.5">
      <c r="A109" s="350" t="s">
        <v>22</v>
      </c>
      <c r="B109" s="342" t="s">
        <v>464</v>
      </c>
      <c r="C109" s="343" t="s">
        <v>215</v>
      </c>
      <c r="D109" s="343" t="s">
        <v>442</v>
      </c>
      <c r="E109" s="343" t="s">
        <v>443</v>
      </c>
      <c r="F109" s="343" t="s">
        <v>444</v>
      </c>
      <c r="G109" s="343" t="s">
        <v>445</v>
      </c>
      <c r="H109" s="343" t="s">
        <v>446</v>
      </c>
      <c r="I109" s="349"/>
      <c r="J109" s="349"/>
      <c r="K109" s="2"/>
      <c r="L109" s="350" t="s">
        <v>22</v>
      </c>
      <c r="M109" s="342" t="s">
        <v>464</v>
      </c>
      <c r="N109" s="343" t="s">
        <v>215</v>
      </c>
      <c r="O109" s="343" t="s">
        <v>442</v>
      </c>
      <c r="P109" s="343" t="s">
        <v>443</v>
      </c>
      <c r="Q109" s="343" t="s">
        <v>444</v>
      </c>
      <c r="R109" s="343" t="s">
        <v>445</v>
      </c>
      <c r="S109" s="343" t="s">
        <v>446</v>
      </c>
      <c r="T109" s="349"/>
      <c r="U109" s="349"/>
    </row>
    <row r="110" spans="1:21" x14ac:dyDescent="0.5">
      <c r="A110" s="528">
        <v>7</v>
      </c>
      <c r="B110" s="212" t="s">
        <v>460</v>
      </c>
      <c r="C110" s="343">
        <v>0.2</v>
      </c>
      <c r="D110" s="343">
        <v>0.17499999999999999</v>
      </c>
      <c r="E110" s="343">
        <v>0.25</v>
      </c>
      <c r="F110" s="343">
        <v>0.125</v>
      </c>
      <c r="G110" s="343">
        <v>0.15</v>
      </c>
      <c r="H110" s="343">
        <v>0.1</v>
      </c>
      <c r="I110" s="346"/>
      <c r="J110" s="346"/>
      <c r="K110" s="2"/>
      <c r="L110" s="528">
        <v>8</v>
      </c>
      <c r="M110" s="212" t="s">
        <v>460</v>
      </c>
      <c r="N110" s="343">
        <v>0.2</v>
      </c>
      <c r="O110" s="343">
        <v>0.17499999999999999</v>
      </c>
      <c r="P110" s="343">
        <v>0.25</v>
      </c>
      <c r="Q110" s="343">
        <v>0.125</v>
      </c>
      <c r="R110" s="343">
        <v>0.15</v>
      </c>
      <c r="S110" s="343">
        <v>0.1</v>
      </c>
      <c r="T110" s="346"/>
      <c r="U110" s="346"/>
    </row>
    <row r="111" spans="1:21" x14ac:dyDescent="0.5">
      <c r="A111" s="552"/>
      <c r="B111" s="212" t="s">
        <v>461</v>
      </c>
      <c r="C111" s="343">
        <v>12</v>
      </c>
      <c r="D111" s="343">
        <v>16</v>
      </c>
      <c r="E111" s="343">
        <v>18</v>
      </c>
      <c r="F111" s="343">
        <v>18</v>
      </c>
      <c r="G111" s="343">
        <v>20</v>
      </c>
      <c r="H111" s="343">
        <v>15</v>
      </c>
      <c r="I111" s="347">
        <f>+SUM(C111:H111)</f>
        <v>99</v>
      </c>
      <c r="J111" s="346" t="s">
        <v>447</v>
      </c>
      <c r="K111" s="2"/>
      <c r="L111" s="552"/>
      <c r="M111" s="212" t="s">
        <v>461</v>
      </c>
      <c r="N111" s="343">
        <v>12</v>
      </c>
      <c r="O111" s="343">
        <v>16</v>
      </c>
      <c r="P111" s="343">
        <v>18</v>
      </c>
      <c r="Q111" s="343">
        <v>18</v>
      </c>
      <c r="R111" s="343">
        <v>20</v>
      </c>
      <c r="S111" s="343">
        <v>15</v>
      </c>
      <c r="T111" s="347">
        <f>+SUM(N111:S111)</f>
        <v>99</v>
      </c>
      <c r="U111" s="346" t="s">
        <v>447</v>
      </c>
    </row>
    <row r="112" spans="1:21" x14ac:dyDescent="0.5">
      <c r="A112" s="344"/>
      <c r="B112" s="212" t="s">
        <v>462</v>
      </c>
      <c r="C112" s="343">
        <v>50</v>
      </c>
      <c r="D112" s="343">
        <v>50</v>
      </c>
      <c r="E112" s="343">
        <v>50</v>
      </c>
      <c r="F112" s="343">
        <v>50</v>
      </c>
      <c r="G112" s="343">
        <v>50</v>
      </c>
      <c r="H112" s="343">
        <v>50</v>
      </c>
      <c r="I112" s="347"/>
      <c r="J112" s="346"/>
      <c r="K112" s="2"/>
      <c r="L112" s="344"/>
      <c r="M112" s="212" t="s">
        <v>462</v>
      </c>
      <c r="N112" s="343">
        <v>50</v>
      </c>
      <c r="O112" s="343">
        <v>50</v>
      </c>
      <c r="P112" s="343">
        <v>50</v>
      </c>
      <c r="Q112" s="343">
        <v>50</v>
      </c>
      <c r="R112" s="343">
        <v>50</v>
      </c>
      <c r="S112" s="343">
        <v>50</v>
      </c>
      <c r="T112" s="347"/>
      <c r="U112" s="346"/>
    </row>
    <row r="113" spans="1:21" x14ac:dyDescent="0.5">
      <c r="A113" s="215" t="s">
        <v>83</v>
      </c>
      <c r="B113" s="212" t="s">
        <v>431</v>
      </c>
      <c r="C113" s="213">
        <f>+C110*C111*2400+(C112*C111)</f>
        <v>6360.0000000000009</v>
      </c>
      <c r="D113" s="213">
        <f t="shared" ref="D113" si="80">+D110*D111*2400+(D112*D111)</f>
        <v>7520</v>
      </c>
      <c r="E113" s="213">
        <f t="shared" ref="E113" si="81">+E110*E111*2400+(E112*E111)</f>
        <v>11700</v>
      </c>
      <c r="F113" s="213">
        <f t="shared" ref="F113" si="82">+F110*F111*2400+(F112*F111)</f>
        <v>6300</v>
      </c>
      <c r="G113" s="213">
        <f t="shared" ref="G113" si="83">+G110*G111*2400+(G112*G111)</f>
        <v>8200</v>
      </c>
      <c r="H113" s="213">
        <f t="shared" ref="H113" si="84">+H110*H111*2400+(H112*H111)</f>
        <v>4350</v>
      </c>
      <c r="I113" s="348">
        <f>+SUM(C113:H113)</f>
        <v>44430</v>
      </c>
      <c r="J113" s="237" t="s">
        <v>441</v>
      </c>
      <c r="K113" s="2"/>
      <c r="L113" s="215" t="s">
        <v>83</v>
      </c>
      <c r="M113" s="212" t="s">
        <v>431</v>
      </c>
      <c r="N113" s="213">
        <f>+N110*N111*2400+(N112*N111)</f>
        <v>6360.0000000000009</v>
      </c>
      <c r="O113" s="213">
        <f t="shared" ref="O113" si="85">+O110*O111*2400+(O112*O111)</f>
        <v>7520</v>
      </c>
      <c r="P113" s="213">
        <f t="shared" ref="P113" si="86">+P110*P111*2400+(P112*P111)</f>
        <v>11700</v>
      </c>
      <c r="Q113" s="213">
        <f t="shared" ref="Q113" si="87">+Q110*Q111*2400+(Q112*Q111)</f>
        <v>6300</v>
      </c>
      <c r="R113" s="213">
        <f t="shared" ref="R113" si="88">+R110*R111*2400+(R112*R111)</f>
        <v>8200</v>
      </c>
      <c r="S113" s="213">
        <f t="shared" ref="S113" si="89">+S110*S111*2400+(S112*S111)</f>
        <v>4350</v>
      </c>
      <c r="T113" s="348">
        <f>+SUM(N113:S113)</f>
        <v>44430</v>
      </c>
      <c r="U113" s="237" t="s">
        <v>441</v>
      </c>
    </row>
    <row r="114" spans="1:21" x14ac:dyDescent="0.5">
      <c r="A114" s="350" t="s">
        <v>22</v>
      </c>
      <c r="B114" s="342" t="s">
        <v>465</v>
      </c>
      <c r="C114" s="343" t="s">
        <v>450</v>
      </c>
      <c r="D114" s="343" t="s">
        <v>451</v>
      </c>
      <c r="E114" s="343" t="s">
        <v>452</v>
      </c>
      <c r="F114" s="343" t="s">
        <v>453</v>
      </c>
      <c r="G114" s="343" t="s">
        <v>453</v>
      </c>
      <c r="H114" s="343" t="s">
        <v>454</v>
      </c>
      <c r="I114" s="349"/>
      <c r="J114" s="349"/>
      <c r="K114" s="2"/>
      <c r="L114" s="350" t="s">
        <v>22</v>
      </c>
      <c r="M114" s="342" t="s">
        <v>465</v>
      </c>
      <c r="N114" s="343" t="s">
        <v>450</v>
      </c>
      <c r="O114" s="343" t="s">
        <v>451</v>
      </c>
      <c r="P114" s="343" t="s">
        <v>452</v>
      </c>
      <c r="Q114" s="343" t="s">
        <v>453</v>
      </c>
      <c r="R114" s="343" t="s">
        <v>453</v>
      </c>
      <c r="S114" s="343" t="s">
        <v>454</v>
      </c>
      <c r="T114" s="349"/>
      <c r="U114" s="349"/>
    </row>
    <row r="115" spans="1:21" x14ac:dyDescent="0.5">
      <c r="A115" s="528">
        <v>7</v>
      </c>
      <c r="B115" s="212" t="s">
        <v>448</v>
      </c>
      <c r="C115" s="343">
        <v>3</v>
      </c>
      <c r="D115" s="343">
        <v>3</v>
      </c>
      <c r="E115" s="343">
        <v>3</v>
      </c>
      <c r="F115" s="343">
        <v>3</v>
      </c>
      <c r="G115" s="343">
        <v>3</v>
      </c>
      <c r="H115" s="343">
        <v>3</v>
      </c>
      <c r="I115" s="346"/>
      <c r="J115" s="346"/>
      <c r="K115" s="2"/>
      <c r="L115" s="528">
        <v>8</v>
      </c>
      <c r="M115" s="212" t="s">
        <v>448</v>
      </c>
      <c r="N115" s="343">
        <v>3</v>
      </c>
      <c r="O115" s="343">
        <v>3</v>
      </c>
      <c r="P115" s="343">
        <v>3</v>
      </c>
      <c r="Q115" s="343">
        <v>3</v>
      </c>
      <c r="R115" s="343">
        <v>3</v>
      </c>
      <c r="S115" s="343">
        <v>3</v>
      </c>
      <c r="T115" s="346"/>
      <c r="U115" s="346"/>
    </row>
    <row r="116" spans="1:21" x14ac:dyDescent="0.5">
      <c r="A116" s="552"/>
      <c r="B116" s="212" t="s">
        <v>428</v>
      </c>
      <c r="C116" s="343">
        <v>5</v>
      </c>
      <c r="D116" s="343">
        <v>5</v>
      </c>
      <c r="E116" s="343">
        <v>5</v>
      </c>
      <c r="F116" s="343">
        <v>5</v>
      </c>
      <c r="G116" s="343">
        <v>5</v>
      </c>
      <c r="H116" s="343">
        <v>5</v>
      </c>
      <c r="I116" s="347">
        <f>+SUM(C116:H116)</f>
        <v>30</v>
      </c>
      <c r="J116" s="346" t="s">
        <v>16</v>
      </c>
      <c r="K116" s="2"/>
      <c r="L116" s="552"/>
      <c r="M116" s="212" t="s">
        <v>428</v>
      </c>
      <c r="N116" s="343">
        <v>5</v>
      </c>
      <c r="O116" s="343">
        <v>5</v>
      </c>
      <c r="P116" s="343">
        <v>5</v>
      </c>
      <c r="Q116" s="343">
        <v>5</v>
      </c>
      <c r="R116" s="343">
        <v>5</v>
      </c>
      <c r="S116" s="343">
        <v>5</v>
      </c>
      <c r="T116" s="347">
        <f>+SUM(N116:S116)</f>
        <v>30</v>
      </c>
      <c r="U116" s="346" t="s">
        <v>16</v>
      </c>
    </row>
    <row r="117" spans="1:21" x14ac:dyDescent="0.5">
      <c r="A117" s="529"/>
      <c r="B117" s="212" t="s">
        <v>449</v>
      </c>
      <c r="C117" s="343">
        <v>180</v>
      </c>
      <c r="D117" s="343">
        <v>180</v>
      </c>
      <c r="E117" s="343">
        <v>180</v>
      </c>
      <c r="F117" s="343">
        <v>180</v>
      </c>
      <c r="G117" s="343">
        <v>180</v>
      </c>
      <c r="H117" s="343">
        <v>180</v>
      </c>
      <c r="I117" s="346"/>
      <c r="J117" s="346"/>
      <c r="K117" s="2"/>
      <c r="L117" s="529"/>
      <c r="M117" s="212" t="s">
        <v>449</v>
      </c>
      <c r="N117" s="343">
        <v>180</v>
      </c>
      <c r="O117" s="343">
        <v>180</v>
      </c>
      <c r="P117" s="343">
        <v>180</v>
      </c>
      <c r="Q117" s="343">
        <v>180</v>
      </c>
      <c r="R117" s="343">
        <v>180</v>
      </c>
      <c r="S117" s="343">
        <v>180</v>
      </c>
      <c r="T117" s="346"/>
      <c r="U117" s="346"/>
    </row>
    <row r="118" spans="1:21" x14ac:dyDescent="0.5">
      <c r="A118" s="215" t="s">
        <v>83</v>
      </c>
      <c r="B118" s="212" t="s">
        <v>431</v>
      </c>
      <c r="C118" s="213">
        <f>+C115*C116*C117</f>
        <v>2700</v>
      </c>
      <c r="D118" s="213">
        <f t="shared" ref="D118" si="90">+D115*D116*D117</f>
        <v>2700</v>
      </c>
      <c r="E118" s="213">
        <f t="shared" ref="E118" si="91">+E115*E116*E117</f>
        <v>2700</v>
      </c>
      <c r="F118" s="213">
        <f t="shared" ref="F118" si="92">+F115*F116*F117</f>
        <v>2700</v>
      </c>
      <c r="G118" s="213">
        <f t="shared" ref="G118" si="93">+G115*G116*G117</f>
        <v>2700</v>
      </c>
      <c r="H118" s="213">
        <f t="shared" ref="H118" si="94">+H115*H116*H117</f>
        <v>2700</v>
      </c>
      <c r="I118" s="348">
        <f>+SUM(C118:H118)</f>
        <v>16200</v>
      </c>
      <c r="J118" s="237" t="s">
        <v>441</v>
      </c>
      <c r="K118" s="2"/>
      <c r="L118" s="215" t="s">
        <v>83</v>
      </c>
      <c r="M118" s="212" t="s">
        <v>431</v>
      </c>
      <c r="N118" s="213">
        <f>+N115*N116*N117</f>
        <v>2700</v>
      </c>
      <c r="O118" s="213">
        <f t="shared" ref="O118" si="95">+O115*O116*O117</f>
        <v>2700</v>
      </c>
      <c r="P118" s="213">
        <f t="shared" ref="P118" si="96">+P115*P116*P117</f>
        <v>2700</v>
      </c>
      <c r="Q118" s="213">
        <f t="shared" ref="Q118" si="97">+Q115*Q116*Q117</f>
        <v>2700</v>
      </c>
      <c r="R118" s="213">
        <f t="shared" ref="R118" si="98">+R115*R116*R117</f>
        <v>2700</v>
      </c>
      <c r="S118" s="213">
        <f t="shared" ref="S118" si="99">+S115*S116*S117</f>
        <v>2700</v>
      </c>
      <c r="T118" s="348">
        <f>+SUM(N118:S118)</f>
        <v>16200</v>
      </c>
      <c r="U118" s="237" t="s">
        <v>441</v>
      </c>
    </row>
    <row r="119" spans="1:21" x14ac:dyDescent="0.5">
      <c r="A119" s="350" t="s">
        <v>22</v>
      </c>
      <c r="B119" s="342" t="s">
        <v>466</v>
      </c>
      <c r="C119" s="343" t="s">
        <v>455</v>
      </c>
      <c r="D119" s="343" t="s">
        <v>451</v>
      </c>
      <c r="E119" s="343" t="s">
        <v>452</v>
      </c>
      <c r="F119" s="343" t="s">
        <v>453</v>
      </c>
      <c r="G119" s="343" t="s">
        <v>453</v>
      </c>
      <c r="H119" s="343" t="s">
        <v>454</v>
      </c>
      <c r="I119" s="349"/>
      <c r="J119" s="349"/>
      <c r="K119" s="2"/>
      <c r="L119" s="350" t="s">
        <v>22</v>
      </c>
      <c r="M119" s="342" t="s">
        <v>466</v>
      </c>
      <c r="N119" s="343" t="s">
        <v>455</v>
      </c>
      <c r="O119" s="343" t="s">
        <v>451</v>
      </c>
      <c r="P119" s="343" t="s">
        <v>452</v>
      </c>
      <c r="Q119" s="343" t="s">
        <v>453</v>
      </c>
      <c r="R119" s="343" t="s">
        <v>453</v>
      </c>
      <c r="S119" s="343" t="s">
        <v>454</v>
      </c>
      <c r="T119" s="349"/>
      <c r="U119" s="349"/>
    </row>
    <row r="120" spans="1:21" x14ac:dyDescent="0.5">
      <c r="A120" s="528">
        <v>7</v>
      </c>
      <c r="B120" s="212" t="s">
        <v>448</v>
      </c>
      <c r="C120" s="343">
        <v>3</v>
      </c>
      <c r="D120" s="343">
        <v>3</v>
      </c>
      <c r="E120" s="343">
        <v>3</v>
      </c>
      <c r="F120" s="343">
        <v>3</v>
      </c>
      <c r="G120" s="343">
        <v>3</v>
      </c>
      <c r="H120" s="343">
        <v>3</v>
      </c>
      <c r="I120" s="346"/>
      <c r="J120" s="346"/>
      <c r="K120" s="2"/>
      <c r="L120" s="528">
        <v>8</v>
      </c>
      <c r="M120" s="212" t="s">
        <v>448</v>
      </c>
      <c r="N120" s="343">
        <v>3</v>
      </c>
      <c r="O120" s="343">
        <v>3</v>
      </c>
      <c r="P120" s="343">
        <v>3</v>
      </c>
      <c r="Q120" s="343">
        <v>3</v>
      </c>
      <c r="R120" s="343">
        <v>3</v>
      </c>
      <c r="S120" s="343">
        <v>3</v>
      </c>
      <c r="T120" s="346"/>
      <c r="U120" s="346"/>
    </row>
    <row r="121" spans="1:21" x14ac:dyDescent="0.5">
      <c r="A121" s="552"/>
      <c r="B121" s="212" t="s">
        <v>428</v>
      </c>
      <c r="C121" s="343">
        <v>5</v>
      </c>
      <c r="D121" s="343">
        <v>5</v>
      </c>
      <c r="E121" s="343">
        <v>5</v>
      </c>
      <c r="F121" s="343">
        <v>5</v>
      </c>
      <c r="G121" s="343">
        <v>5</v>
      </c>
      <c r="H121" s="343">
        <v>5</v>
      </c>
      <c r="I121" s="347">
        <f>+SUM(C121:H121)</f>
        <v>30</v>
      </c>
      <c r="J121" s="346" t="s">
        <v>16</v>
      </c>
      <c r="K121" s="2"/>
      <c r="L121" s="552"/>
      <c r="M121" s="212" t="s">
        <v>428</v>
      </c>
      <c r="N121" s="343">
        <v>5</v>
      </c>
      <c r="O121" s="343">
        <v>5</v>
      </c>
      <c r="P121" s="343">
        <v>5</v>
      </c>
      <c r="Q121" s="343">
        <v>5</v>
      </c>
      <c r="R121" s="343">
        <v>5</v>
      </c>
      <c r="S121" s="343">
        <v>5</v>
      </c>
      <c r="T121" s="347">
        <f>+SUM(N121:S121)</f>
        <v>30</v>
      </c>
      <c r="U121" s="346" t="s">
        <v>16</v>
      </c>
    </row>
    <row r="122" spans="1:21" x14ac:dyDescent="0.5">
      <c r="A122" s="529"/>
      <c r="B122" s="212" t="s">
        <v>456</v>
      </c>
      <c r="C122" s="343">
        <v>0.2</v>
      </c>
      <c r="D122" s="343">
        <v>0.2</v>
      </c>
      <c r="E122" s="343">
        <v>0.2</v>
      </c>
      <c r="F122" s="343">
        <v>0.2</v>
      </c>
      <c r="G122" s="343">
        <v>0.2</v>
      </c>
      <c r="H122" s="343">
        <v>0.2</v>
      </c>
      <c r="I122" s="346"/>
      <c r="J122" s="346"/>
      <c r="K122" s="2"/>
      <c r="L122" s="529"/>
      <c r="M122" s="212" t="s">
        <v>456</v>
      </c>
      <c r="N122" s="343">
        <v>0.2</v>
      </c>
      <c r="O122" s="343">
        <v>0.2</v>
      </c>
      <c r="P122" s="343">
        <v>0.2</v>
      </c>
      <c r="Q122" s="343">
        <v>0.2</v>
      </c>
      <c r="R122" s="343">
        <v>0.2</v>
      </c>
      <c r="S122" s="343">
        <v>0.2</v>
      </c>
      <c r="T122" s="346"/>
      <c r="U122" s="346"/>
    </row>
    <row r="123" spans="1:21" x14ac:dyDescent="0.5">
      <c r="A123" s="215" t="s">
        <v>83</v>
      </c>
      <c r="B123" s="212" t="s">
        <v>431</v>
      </c>
      <c r="C123" s="213">
        <f t="shared" ref="C123:H123" si="100">+C122*C120*C121*2400</f>
        <v>7200.0000000000009</v>
      </c>
      <c r="D123" s="213">
        <f t="shared" si="100"/>
        <v>7200.0000000000009</v>
      </c>
      <c r="E123" s="213">
        <f t="shared" si="100"/>
        <v>7200.0000000000009</v>
      </c>
      <c r="F123" s="213">
        <f t="shared" si="100"/>
        <v>7200.0000000000009</v>
      </c>
      <c r="G123" s="213">
        <f t="shared" si="100"/>
        <v>7200.0000000000009</v>
      </c>
      <c r="H123" s="213">
        <f t="shared" si="100"/>
        <v>7200.0000000000009</v>
      </c>
      <c r="I123" s="348">
        <f>+SUM(C123:H123)</f>
        <v>43200.000000000007</v>
      </c>
      <c r="J123" s="237" t="s">
        <v>441</v>
      </c>
      <c r="K123" s="2"/>
      <c r="L123" s="215" t="s">
        <v>83</v>
      </c>
      <c r="M123" s="212" t="s">
        <v>431</v>
      </c>
      <c r="N123" s="213">
        <f t="shared" ref="N123:S123" si="101">+N122*N120*N121*2400</f>
        <v>7200.0000000000009</v>
      </c>
      <c r="O123" s="213">
        <f t="shared" si="101"/>
        <v>7200.0000000000009</v>
      </c>
      <c r="P123" s="213">
        <f t="shared" si="101"/>
        <v>7200.0000000000009</v>
      </c>
      <c r="Q123" s="213">
        <f t="shared" si="101"/>
        <v>7200.0000000000009</v>
      </c>
      <c r="R123" s="213">
        <f t="shared" si="101"/>
        <v>7200.0000000000009</v>
      </c>
      <c r="S123" s="213">
        <f t="shared" si="101"/>
        <v>7200.0000000000009</v>
      </c>
      <c r="T123" s="348">
        <f>+SUM(N123:S123)</f>
        <v>43200.000000000007</v>
      </c>
      <c r="U123" s="237" t="s">
        <v>441</v>
      </c>
    </row>
    <row r="124" spans="1:21" x14ac:dyDescent="0.5">
      <c r="A124" s="350" t="s">
        <v>22</v>
      </c>
      <c r="B124" s="342" t="s">
        <v>467</v>
      </c>
      <c r="C124" s="343" t="s">
        <v>424</v>
      </c>
      <c r="D124" s="343" t="s">
        <v>425</v>
      </c>
      <c r="E124" s="343" t="s">
        <v>426</v>
      </c>
      <c r="F124" s="343" t="s">
        <v>427</v>
      </c>
      <c r="G124" s="343" t="s">
        <v>429</v>
      </c>
      <c r="H124" s="343" t="s">
        <v>430</v>
      </c>
      <c r="I124" s="349"/>
      <c r="J124" s="349"/>
      <c r="K124" s="2"/>
      <c r="L124" s="350" t="s">
        <v>22</v>
      </c>
      <c r="M124" s="342" t="s">
        <v>467</v>
      </c>
      <c r="N124" s="343" t="s">
        <v>424</v>
      </c>
      <c r="O124" s="343" t="s">
        <v>425</v>
      </c>
      <c r="P124" s="343" t="s">
        <v>426</v>
      </c>
      <c r="Q124" s="343" t="s">
        <v>427</v>
      </c>
      <c r="R124" s="343" t="s">
        <v>429</v>
      </c>
      <c r="S124" s="343" t="s">
        <v>430</v>
      </c>
      <c r="T124" s="349"/>
      <c r="U124" s="349"/>
    </row>
    <row r="125" spans="1:21" x14ac:dyDescent="0.5">
      <c r="A125" s="528">
        <v>7</v>
      </c>
      <c r="B125" s="212" t="s">
        <v>457</v>
      </c>
      <c r="C125" s="343">
        <v>0.2</v>
      </c>
      <c r="D125" s="343">
        <v>0.2</v>
      </c>
      <c r="E125" s="343">
        <v>0.2</v>
      </c>
      <c r="F125" s="343">
        <v>0.25</v>
      </c>
      <c r="G125" s="343">
        <v>0.25</v>
      </c>
      <c r="H125" s="343">
        <v>0.25</v>
      </c>
      <c r="I125" s="346"/>
      <c r="J125" s="346"/>
      <c r="K125" s="2"/>
      <c r="L125" s="528">
        <v>8</v>
      </c>
      <c r="M125" s="212" t="s">
        <v>457</v>
      </c>
      <c r="N125" s="343">
        <v>0.2</v>
      </c>
      <c r="O125" s="343">
        <v>0.2</v>
      </c>
      <c r="P125" s="343">
        <v>0.2</v>
      </c>
      <c r="Q125" s="343">
        <v>0.25</v>
      </c>
      <c r="R125" s="343">
        <v>0.25</v>
      </c>
      <c r="S125" s="343">
        <v>0.25</v>
      </c>
      <c r="T125" s="346"/>
      <c r="U125" s="346"/>
    </row>
    <row r="126" spans="1:21" x14ac:dyDescent="0.5">
      <c r="A126" s="552"/>
      <c r="B126" s="212" t="s">
        <v>458</v>
      </c>
      <c r="C126" s="343">
        <v>0.3</v>
      </c>
      <c r="D126" s="343">
        <v>0.35</v>
      </c>
      <c r="E126" s="343">
        <v>0.4</v>
      </c>
      <c r="F126" s="343">
        <v>0.4</v>
      </c>
      <c r="G126" s="343">
        <v>0.45</v>
      </c>
      <c r="H126" s="343">
        <v>0.5</v>
      </c>
      <c r="I126" s="346"/>
      <c r="J126" s="346"/>
      <c r="K126" s="2"/>
      <c r="L126" s="552"/>
      <c r="M126" s="212" t="s">
        <v>458</v>
      </c>
      <c r="N126" s="343">
        <v>0.3</v>
      </c>
      <c r="O126" s="343">
        <v>0.35</v>
      </c>
      <c r="P126" s="343">
        <v>0.4</v>
      </c>
      <c r="Q126" s="343">
        <v>0.4</v>
      </c>
      <c r="R126" s="343">
        <v>0.45</v>
      </c>
      <c r="S126" s="343">
        <v>0.5</v>
      </c>
      <c r="T126" s="346"/>
      <c r="U126" s="346"/>
    </row>
    <row r="127" spans="1:21" x14ac:dyDescent="0.5">
      <c r="A127" s="529"/>
      <c r="B127" s="212" t="s">
        <v>459</v>
      </c>
      <c r="C127" s="343">
        <v>3</v>
      </c>
      <c r="D127" s="343">
        <v>3</v>
      </c>
      <c r="E127" s="343">
        <v>3</v>
      </c>
      <c r="F127" s="343">
        <v>3</v>
      </c>
      <c r="G127" s="343">
        <v>3</v>
      </c>
      <c r="H127" s="343">
        <v>3</v>
      </c>
      <c r="I127" s="347">
        <f>+SUM(C127:H127)</f>
        <v>18</v>
      </c>
      <c r="J127" s="346" t="s">
        <v>16</v>
      </c>
      <c r="K127" s="2"/>
      <c r="L127" s="529"/>
      <c r="M127" s="212" t="s">
        <v>459</v>
      </c>
      <c r="N127" s="343">
        <v>3</v>
      </c>
      <c r="O127" s="343">
        <v>3</v>
      </c>
      <c r="P127" s="343">
        <v>3</v>
      </c>
      <c r="Q127" s="343">
        <v>3</v>
      </c>
      <c r="R127" s="343">
        <v>3</v>
      </c>
      <c r="S127" s="343">
        <v>3</v>
      </c>
      <c r="T127" s="347">
        <f>+SUM(N127:S127)</f>
        <v>18</v>
      </c>
      <c r="U127" s="346" t="s">
        <v>16</v>
      </c>
    </row>
    <row r="128" spans="1:21" x14ac:dyDescent="0.5">
      <c r="A128" s="215" t="s">
        <v>83</v>
      </c>
      <c r="B128" s="212" t="s">
        <v>431</v>
      </c>
      <c r="C128" s="213">
        <f t="shared" ref="C128:H128" si="102">+C125*C126*C127*2400</f>
        <v>432</v>
      </c>
      <c r="D128" s="213">
        <f t="shared" si="102"/>
        <v>503.99999999999989</v>
      </c>
      <c r="E128" s="213">
        <f t="shared" si="102"/>
        <v>576.00000000000011</v>
      </c>
      <c r="F128" s="213">
        <f t="shared" si="102"/>
        <v>720.00000000000011</v>
      </c>
      <c r="G128" s="213">
        <f t="shared" si="102"/>
        <v>810</v>
      </c>
      <c r="H128" s="213">
        <f t="shared" si="102"/>
        <v>900</v>
      </c>
      <c r="I128" s="348">
        <f>+SUM(C128:H128)</f>
        <v>3942</v>
      </c>
      <c r="J128" s="237" t="s">
        <v>441</v>
      </c>
      <c r="K128" s="2"/>
      <c r="L128" s="215" t="s">
        <v>83</v>
      </c>
      <c r="M128" s="212" t="s">
        <v>431</v>
      </c>
      <c r="N128" s="213">
        <f t="shared" ref="N128:S128" si="103">+N125*N126*N127*2400</f>
        <v>432</v>
      </c>
      <c r="O128" s="213">
        <f t="shared" si="103"/>
        <v>503.99999999999989</v>
      </c>
      <c r="P128" s="213">
        <f t="shared" si="103"/>
        <v>576.00000000000011</v>
      </c>
      <c r="Q128" s="213">
        <f t="shared" si="103"/>
        <v>720.00000000000011</v>
      </c>
      <c r="R128" s="213">
        <f t="shared" si="103"/>
        <v>810</v>
      </c>
      <c r="S128" s="213">
        <f t="shared" si="103"/>
        <v>900</v>
      </c>
      <c r="T128" s="348">
        <f>+SUM(N128:S128)</f>
        <v>3942</v>
      </c>
      <c r="U128" s="237" t="s">
        <v>441</v>
      </c>
    </row>
    <row r="129" spans="1:21" x14ac:dyDescent="0.5">
      <c r="A129" s="351"/>
      <c r="B129" s="352"/>
      <c r="C129" s="352"/>
      <c r="D129" s="352"/>
      <c r="E129" s="352"/>
      <c r="F129" s="352"/>
      <c r="G129" s="352"/>
      <c r="H129" s="352"/>
      <c r="I129" s="353">
        <f>+(I128+I123+I118+I113+I108+I103)/1000</f>
        <v>151.548</v>
      </c>
      <c r="J129" s="354" t="s">
        <v>468</v>
      </c>
      <c r="K129" s="2"/>
      <c r="L129" s="351"/>
      <c r="M129" s="352"/>
      <c r="N129" s="352"/>
      <c r="O129" s="352"/>
      <c r="P129" s="352"/>
      <c r="Q129" s="352"/>
      <c r="R129" s="352"/>
      <c r="S129" s="352"/>
      <c r="T129" s="353">
        <f>+(T128+T123+T118+T113+T108+T103)/1000</f>
        <v>151.548</v>
      </c>
      <c r="U129" s="354" t="s">
        <v>468</v>
      </c>
    </row>
    <row r="131" spans="1:21" x14ac:dyDescent="0.5">
      <c r="A131" s="350" t="s">
        <v>22</v>
      </c>
      <c r="B131" s="342" t="s">
        <v>423</v>
      </c>
      <c r="C131" s="343" t="s">
        <v>424</v>
      </c>
      <c r="D131" s="343" t="s">
        <v>425</v>
      </c>
      <c r="E131" s="343" t="s">
        <v>426</v>
      </c>
      <c r="F131" s="343" t="s">
        <v>427</v>
      </c>
      <c r="G131" s="343" t="s">
        <v>429</v>
      </c>
      <c r="H131" s="343" t="s">
        <v>430</v>
      </c>
      <c r="I131" s="345"/>
      <c r="J131" s="345"/>
      <c r="K131" s="2"/>
      <c r="L131" s="350" t="s">
        <v>22</v>
      </c>
      <c r="M131" s="342" t="s">
        <v>423</v>
      </c>
      <c r="N131" s="343" t="s">
        <v>424</v>
      </c>
      <c r="O131" s="343" t="s">
        <v>425</v>
      </c>
      <c r="P131" s="343" t="s">
        <v>426</v>
      </c>
      <c r="Q131" s="343" t="s">
        <v>427</v>
      </c>
      <c r="R131" s="343" t="s">
        <v>429</v>
      </c>
      <c r="S131" s="343" t="s">
        <v>430</v>
      </c>
      <c r="T131" s="345"/>
      <c r="U131" s="345"/>
    </row>
    <row r="132" spans="1:21" x14ac:dyDescent="0.5">
      <c r="A132" s="528">
        <v>9</v>
      </c>
      <c r="B132" s="212" t="s">
        <v>457</v>
      </c>
      <c r="C132" s="343">
        <v>0.2</v>
      </c>
      <c r="D132" s="343">
        <v>0.2</v>
      </c>
      <c r="E132" s="343">
        <v>0.2</v>
      </c>
      <c r="F132" s="343">
        <v>0.25</v>
      </c>
      <c r="G132" s="343">
        <v>0.25</v>
      </c>
      <c r="H132" s="343">
        <v>0.25</v>
      </c>
      <c r="I132" s="346"/>
      <c r="J132" s="346"/>
      <c r="K132" s="2"/>
      <c r="L132" s="528">
        <v>10</v>
      </c>
      <c r="M132" s="212" t="s">
        <v>457</v>
      </c>
      <c r="N132" s="343">
        <v>0.2</v>
      </c>
      <c r="O132" s="343">
        <v>0.2</v>
      </c>
      <c r="P132" s="343">
        <v>0.2</v>
      </c>
      <c r="Q132" s="343">
        <v>0.25</v>
      </c>
      <c r="R132" s="343">
        <v>0.25</v>
      </c>
      <c r="S132" s="343">
        <v>0.25</v>
      </c>
      <c r="T132" s="346"/>
      <c r="U132" s="346"/>
    </row>
    <row r="133" spans="1:21" x14ac:dyDescent="0.5">
      <c r="A133" s="552"/>
      <c r="B133" s="212" t="s">
        <v>458</v>
      </c>
      <c r="C133" s="343">
        <v>0.3</v>
      </c>
      <c r="D133" s="343">
        <v>0.35</v>
      </c>
      <c r="E133" s="343">
        <v>0.4</v>
      </c>
      <c r="F133" s="343">
        <v>0.4</v>
      </c>
      <c r="G133" s="343">
        <v>0.45</v>
      </c>
      <c r="H133" s="343">
        <v>0.5</v>
      </c>
      <c r="I133" s="346"/>
      <c r="J133" s="346"/>
      <c r="K133" s="2"/>
      <c r="L133" s="552"/>
      <c r="M133" s="212" t="s">
        <v>458</v>
      </c>
      <c r="N133" s="343">
        <v>0.3</v>
      </c>
      <c r="O133" s="343">
        <v>0.35</v>
      </c>
      <c r="P133" s="343">
        <v>0.4</v>
      </c>
      <c r="Q133" s="343">
        <v>0.4</v>
      </c>
      <c r="R133" s="343">
        <v>0.45</v>
      </c>
      <c r="S133" s="343">
        <v>0.5</v>
      </c>
      <c r="T133" s="346"/>
      <c r="U133" s="346"/>
    </row>
    <row r="134" spans="1:21" x14ac:dyDescent="0.5">
      <c r="A134" s="529"/>
      <c r="B134" s="212" t="s">
        <v>459</v>
      </c>
      <c r="C134" s="343">
        <v>6</v>
      </c>
      <c r="D134" s="343">
        <v>4</v>
      </c>
      <c r="E134" s="343">
        <v>12</v>
      </c>
      <c r="F134" s="343">
        <v>16</v>
      </c>
      <c r="G134" s="343">
        <v>20</v>
      </c>
      <c r="H134" s="343">
        <v>20</v>
      </c>
      <c r="I134" s="347">
        <f>+SUM(C134:H134)</f>
        <v>78</v>
      </c>
      <c r="J134" s="346" t="s">
        <v>16</v>
      </c>
      <c r="K134" s="2"/>
      <c r="L134" s="529"/>
      <c r="M134" s="212" t="s">
        <v>459</v>
      </c>
      <c r="N134" s="343">
        <v>6</v>
      </c>
      <c r="O134" s="343">
        <v>4</v>
      </c>
      <c r="P134" s="343">
        <v>12</v>
      </c>
      <c r="Q134" s="343">
        <v>16</v>
      </c>
      <c r="R134" s="343">
        <v>20</v>
      </c>
      <c r="S134" s="343">
        <v>20</v>
      </c>
      <c r="T134" s="347">
        <f>+SUM(N134:S134)</f>
        <v>78</v>
      </c>
      <c r="U134" s="346" t="s">
        <v>16</v>
      </c>
    </row>
    <row r="135" spans="1:21" x14ac:dyDescent="0.5">
      <c r="A135" s="215" t="s">
        <v>83</v>
      </c>
      <c r="B135" s="212" t="s">
        <v>431</v>
      </c>
      <c r="C135" s="213">
        <f t="shared" ref="C135:H135" si="104">+C132*C133*C134*2400</f>
        <v>864</v>
      </c>
      <c r="D135" s="213">
        <f t="shared" si="104"/>
        <v>671.99999999999989</v>
      </c>
      <c r="E135" s="213">
        <f t="shared" si="104"/>
        <v>2304.0000000000005</v>
      </c>
      <c r="F135" s="213">
        <f t="shared" si="104"/>
        <v>3840</v>
      </c>
      <c r="G135" s="213">
        <f t="shared" si="104"/>
        <v>5400</v>
      </c>
      <c r="H135" s="213">
        <f t="shared" si="104"/>
        <v>6000</v>
      </c>
      <c r="I135" s="348">
        <f>+SUM(C135:H135)</f>
        <v>19080</v>
      </c>
      <c r="J135" s="237" t="s">
        <v>439</v>
      </c>
      <c r="K135" s="2"/>
      <c r="L135" s="215" t="s">
        <v>83</v>
      </c>
      <c r="M135" s="212" t="s">
        <v>431</v>
      </c>
      <c r="N135" s="213">
        <f t="shared" ref="N135:S135" si="105">+N132*N133*N134*2400</f>
        <v>864</v>
      </c>
      <c r="O135" s="213">
        <f t="shared" si="105"/>
        <v>671.99999999999989</v>
      </c>
      <c r="P135" s="213">
        <f t="shared" si="105"/>
        <v>2304.0000000000005</v>
      </c>
      <c r="Q135" s="213">
        <f t="shared" si="105"/>
        <v>3840</v>
      </c>
      <c r="R135" s="213">
        <f t="shared" si="105"/>
        <v>5400</v>
      </c>
      <c r="S135" s="213">
        <f t="shared" si="105"/>
        <v>6000</v>
      </c>
      <c r="T135" s="348">
        <f>+SUM(N135:S135)</f>
        <v>19080</v>
      </c>
      <c r="U135" s="237" t="s">
        <v>439</v>
      </c>
    </row>
    <row r="136" spans="1:21" x14ac:dyDescent="0.5">
      <c r="A136" s="350" t="s">
        <v>22</v>
      </c>
      <c r="B136" s="342" t="s">
        <v>463</v>
      </c>
      <c r="C136" s="343" t="s">
        <v>432</v>
      </c>
      <c r="D136" s="343" t="s">
        <v>433</v>
      </c>
      <c r="E136" s="343" t="s">
        <v>434</v>
      </c>
      <c r="F136" s="343" t="s">
        <v>435</v>
      </c>
      <c r="G136" s="343" t="s">
        <v>436</v>
      </c>
      <c r="H136" s="343" t="s">
        <v>437</v>
      </c>
      <c r="I136" s="349"/>
      <c r="J136" s="349"/>
      <c r="K136" s="2"/>
      <c r="L136" s="350" t="s">
        <v>22</v>
      </c>
      <c r="M136" s="342" t="s">
        <v>463</v>
      </c>
      <c r="N136" s="343" t="s">
        <v>432</v>
      </c>
      <c r="O136" s="343" t="s">
        <v>433</v>
      </c>
      <c r="P136" s="343" t="s">
        <v>434</v>
      </c>
      <c r="Q136" s="343" t="s">
        <v>435</v>
      </c>
      <c r="R136" s="343" t="s">
        <v>436</v>
      </c>
      <c r="S136" s="343" t="s">
        <v>437</v>
      </c>
      <c r="T136" s="349"/>
      <c r="U136" s="349"/>
    </row>
    <row r="137" spans="1:21" x14ac:dyDescent="0.5">
      <c r="A137" s="528">
        <v>9</v>
      </c>
      <c r="B137" s="212" t="s">
        <v>421</v>
      </c>
      <c r="C137" s="343">
        <v>0.2</v>
      </c>
      <c r="D137" s="343">
        <v>0.2</v>
      </c>
      <c r="E137" s="343">
        <v>0.2</v>
      </c>
      <c r="F137" s="343">
        <v>0.4</v>
      </c>
      <c r="G137" s="343">
        <v>0.25</v>
      </c>
      <c r="H137" s="343">
        <v>0.5</v>
      </c>
      <c r="I137" s="346"/>
      <c r="J137" s="346"/>
      <c r="K137" s="2"/>
      <c r="L137" s="528">
        <v>10</v>
      </c>
      <c r="M137" s="212" t="s">
        <v>421</v>
      </c>
      <c r="N137" s="343">
        <v>0.2</v>
      </c>
      <c r="O137" s="343">
        <v>0.2</v>
      </c>
      <c r="P137" s="343">
        <v>0.2</v>
      </c>
      <c r="Q137" s="343">
        <v>0.4</v>
      </c>
      <c r="R137" s="343">
        <v>0.25</v>
      </c>
      <c r="S137" s="343">
        <v>0.5</v>
      </c>
      <c r="T137" s="346"/>
      <c r="U137" s="346"/>
    </row>
    <row r="138" spans="1:21" x14ac:dyDescent="0.5">
      <c r="A138" s="552"/>
      <c r="B138" s="212" t="s">
        <v>422</v>
      </c>
      <c r="C138" s="343">
        <v>0.2</v>
      </c>
      <c r="D138" s="343">
        <v>0.35</v>
      </c>
      <c r="E138" s="343">
        <v>0.4</v>
      </c>
      <c r="F138" s="343">
        <v>0.4</v>
      </c>
      <c r="G138" s="343">
        <v>0.25</v>
      </c>
      <c r="H138" s="343">
        <v>0.5</v>
      </c>
      <c r="I138" s="346"/>
      <c r="J138" s="346"/>
      <c r="K138" s="2"/>
      <c r="L138" s="552"/>
      <c r="M138" s="212" t="s">
        <v>422</v>
      </c>
      <c r="N138" s="343">
        <v>0.2</v>
      </c>
      <c r="O138" s="343">
        <v>0.35</v>
      </c>
      <c r="P138" s="343">
        <v>0.4</v>
      </c>
      <c r="Q138" s="343">
        <v>0.4</v>
      </c>
      <c r="R138" s="343">
        <v>0.25</v>
      </c>
      <c r="S138" s="343">
        <v>0.5</v>
      </c>
      <c r="T138" s="346"/>
      <c r="U138" s="346"/>
    </row>
    <row r="139" spans="1:21" x14ac:dyDescent="0.5">
      <c r="A139" s="529"/>
      <c r="B139" s="212" t="s">
        <v>438</v>
      </c>
      <c r="C139" s="343">
        <v>6</v>
      </c>
      <c r="D139" s="343">
        <v>4</v>
      </c>
      <c r="E139" s="343">
        <v>12</v>
      </c>
      <c r="F139" s="343">
        <v>16</v>
      </c>
      <c r="G139" s="343">
        <v>20</v>
      </c>
      <c r="H139" s="343">
        <v>20</v>
      </c>
      <c r="I139" s="347">
        <f>+SUM(C139:H139)</f>
        <v>78</v>
      </c>
      <c r="J139" s="346" t="s">
        <v>440</v>
      </c>
      <c r="K139" s="2"/>
      <c r="L139" s="529"/>
      <c r="M139" s="212" t="s">
        <v>438</v>
      </c>
      <c r="N139" s="343">
        <v>6</v>
      </c>
      <c r="O139" s="343">
        <v>4</v>
      </c>
      <c r="P139" s="343">
        <v>12</v>
      </c>
      <c r="Q139" s="343">
        <v>16</v>
      </c>
      <c r="R139" s="343">
        <v>20</v>
      </c>
      <c r="S139" s="343">
        <v>20</v>
      </c>
      <c r="T139" s="347">
        <f>+SUM(N139:S139)</f>
        <v>78</v>
      </c>
      <c r="U139" s="346" t="s">
        <v>440</v>
      </c>
    </row>
    <row r="140" spans="1:21" x14ac:dyDescent="0.5">
      <c r="A140" s="215" t="s">
        <v>83</v>
      </c>
      <c r="B140" s="212" t="s">
        <v>431</v>
      </c>
      <c r="C140" s="213">
        <f t="shared" ref="C140:H140" si="106">+C137*C138*C139*2400</f>
        <v>576.00000000000011</v>
      </c>
      <c r="D140" s="213">
        <f t="shared" si="106"/>
        <v>671.99999999999989</v>
      </c>
      <c r="E140" s="213">
        <f t="shared" si="106"/>
        <v>2304.0000000000005</v>
      </c>
      <c r="F140" s="213">
        <f t="shared" si="106"/>
        <v>6144.0000000000009</v>
      </c>
      <c r="G140" s="213">
        <f t="shared" si="106"/>
        <v>3000</v>
      </c>
      <c r="H140" s="213">
        <f t="shared" si="106"/>
        <v>12000</v>
      </c>
      <c r="I140" s="348">
        <f>+SUM(C140:H140)</f>
        <v>24696</v>
      </c>
      <c r="J140" s="237" t="s">
        <v>441</v>
      </c>
      <c r="K140" s="2"/>
      <c r="L140" s="215" t="s">
        <v>83</v>
      </c>
      <c r="M140" s="212" t="s">
        <v>431</v>
      </c>
      <c r="N140" s="213">
        <f t="shared" ref="N140:S140" si="107">+N137*N138*N139*2400</f>
        <v>576.00000000000011</v>
      </c>
      <c r="O140" s="213">
        <f t="shared" si="107"/>
        <v>671.99999999999989</v>
      </c>
      <c r="P140" s="213">
        <f t="shared" si="107"/>
        <v>2304.0000000000005</v>
      </c>
      <c r="Q140" s="213">
        <f t="shared" si="107"/>
        <v>6144.0000000000009</v>
      </c>
      <c r="R140" s="213">
        <f t="shared" si="107"/>
        <v>3000</v>
      </c>
      <c r="S140" s="213">
        <f t="shared" si="107"/>
        <v>12000</v>
      </c>
      <c r="T140" s="348">
        <f>+SUM(N140:S140)</f>
        <v>24696</v>
      </c>
      <c r="U140" s="237" t="s">
        <v>441</v>
      </c>
    </row>
    <row r="141" spans="1:21" x14ac:dyDescent="0.5">
      <c r="A141" s="350" t="s">
        <v>22</v>
      </c>
      <c r="B141" s="342" t="s">
        <v>464</v>
      </c>
      <c r="C141" s="343" t="s">
        <v>215</v>
      </c>
      <c r="D141" s="343" t="s">
        <v>442</v>
      </c>
      <c r="E141" s="343" t="s">
        <v>443</v>
      </c>
      <c r="F141" s="343" t="s">
        <v>444</v>
      </c>
      <c r="G141" s="343" t="s">
        <v>445</v>
      </c>
      <c r="H141" s="343" t="s">
        <v>446</v>
      </c>
      <c r="I141" s="349"/>
      <c r="J141" s="349"/>
      <c r="K141" s="2"/>
      <c r="L141" s="350" t="s">
        <v>22</v>
      </c>
      <c r="M141" s="342" t="s">
        <v>464</v>
      </c>
      <c r="N141" s="343" t="s">
        <v>215</v>
      </c>
      <c r="O141" s="343" t="s">
        <v>442</v>
      </c>
      <c r="P141" s="343" t="s">
        <v>443</v>
      </c>
      <c r="Q141" s="343" t="s">
        <v>444</v>
      </c>
      <c r="R141" s="343" t="s">
        <v>445</v>
      </c>
      <c r="S141" s="343" t="s">
        <v>446</v>
      </c>
      <c r="T141" s="349"/>
      <c r="U141" s="349"/>
    </row>
    <row r="142" spans="1:21" x14ac:dyDescent="0.5">
      <c r="A142" s="528">
        <v>9</v>
      </c>
      <c r="B142" s="212" t="s">
        <v>460</v>
      </c>
      <c r="C142" s="343">
        <v>0.2</v>
      </c>
      <c r="D142" s="343">
        <v>0.17499999999999999</v>
      </c>
      <c r="E142" s="343">
        <v>0.25</v>
      </c>
      <c r="F142" s="343">
        <v>0.125</v>
      </c>
      <c r="G142" s="343">
        <v>0.15</v>
      </c>
      <c r="H142" s="343">
        <v>0.1</v>
      </c>
      <c r="I142" s="346"/>
      <c r="J142" s="346"/>
      <c r="K142" s="2"/>
      <c r="L142" s="528">
        <v>10</v>
      </c>
      <c r="M142" s="212" t="s">
        <v>460</v>
      </c>
      <c r="N142" s="343">
        <v>0.2</v>
      </c>
      <c r="O142" s="343">
        <v>0.17499999999999999</v>
      </c>
      <c r="P142" s="343">
        <v>0.25</v>
      </c>
      <c r="Q142" s="343">
        <v>0.125</v>
      </c>
      <c r="R142" s="343">
        <v>0.15</v>
      </c>
      <c r="S142" s="343">
        <v>0.1</v>
      </c>
      <c r="T142" s="346"/>
      <c r="U142" s="346"/>
    </row>
    <row r="143" spans="1:21" x14ac:dyDescent="0.5">
      <c r="A143" s="552"/>
      <c r="B143" s="212" t="s">
        <v>461</v>
      </c>
      <c r="C143" s="343">
        <v>12</v>
      </c>
      <c r="D143" s="343">
        <v>16</v>
      </c>
      <c r="E143" s="343">
        <v>18</v>
      </c>
      <c r="F143" s="343">
        <v>18</v>
      </c>
      <c r="G143" s="343">
        <v>20</v>
      </c>
      <c r="H143" s="343">
        <v>15</v>
      </c>
      <c r="I143" s="347">
        <f>+SUM(C143:H143)</f>
        <v>99</v>
      </c>
      <c r="J143" s="346" t="s">
        <v>447</v>
      </c>
      <c r="K143" s="2"/>
      <c r="L143" s="552"/>
      <c r="M143" s="212" t="s">
        <v>461</v>
      </c>
      <c r="N143" s="343">
        <v>12</v>
      </c>
      <c r="O143" s="343">
        <v>16</v>
      </c>
      <c r="P143" s="343">
        <v>18</v>
      </c>
      <c r="Q143" s="343">
        <v>18</v>
      </c>
      <c r="R143" s="343">
        <v>20</v>
      </c>
      <c r="S143" s="343">
        <v>15</v>
      </c>
      <c r="T143" s="347">
        <f>+SUM(N143:S143)</f>
        <v>99</v>
      </c>
      <c r="U143" s="346" t="s">
        <v>447</v>
      </c>
    </row>
    <row r="144" spans="1:21" x14ac:dyDescent="0.5">
      <c r="A144" s="344"/>
      <c r="B144" s="212" t="s">
        <v>462</v>
      </c>
      <c r="C144" s="343">
        <v>50</v>
      </c>
      <c r="D144" s="343">
        <v>50</v>
      </c>
      <c r="E144" s="343">
        <v>50</v>
      </c>
      <c r="F144" s="343">
        <v>50</v>
      </c>
      <c r="G144" s="343">
        <v>50</v>
      </c>
      <c r="H144" s="343">
        <v>50</v>
      </c>
      <c r="I144" s="347"/>
      <c r="J144" s="346"/>
      <c r="K144" s="2"/>
      <c r="L144" s="344"/>
      <c r="M144" s="212" t="s">
        <v>462</v>
      </c>
      <c r="N144" s="343">
        <v>50</v>
      </c>
      <c r="O144" s="343">
        <v>50</v>
      </c>
      <c r="P144" s="343">
        <v>50</v>
      </c>
      <c r="Q144" s="343">
        <v>50</v>
      </c>
      <c r="R144" s="343">
        <v>50</v>
      </c>
      <c r="S144" s="343">
        <v>50</v>
      </c>
      <c r="T144" s="347"/>
      <c r="U144" s="346"/>
    </row>
    <row r="145" spans="1:21" x14ac:dyDescent="0.5">
      <c r="A145" s="215" t="s">
        <v>83</v>
      </c>
      <c r="B145" s="212" t="s">
        <v>431</v>
      </c>
      <c r="C145" s="213">
        <f>+C142*C143*2400+(C144*C143)</f>
        <v>6360.0000000000009</v>
      </c>
      <c r="D145" s="213">
        <f t="shared" ref="D145" si="108">+D142*D143*2400+(D144*D143)</f>
        <v>7520</v>
      </c>
      <c r="E145" s="213">
        <f t="shared" ref="E145" si="109">+E142*E143*2400+(E144*E143)</f>
        <v>11700</v>
      </c>
      <c r="F145" s="213">
        <f t="shared" ref="F145" si="110">+F142*F143*2400+(F144*F143)</f>
        <v>6300</v>
      </c>
      <c r="G145" s="213">
        <f t="shared" ref="G145" si="111">+G142*G143*2400+(G144*G143)</f>
        <v>8200</v>
      </c>
      <c r="H145" s="213">
        <f t="shared" ref="H145" si="112">+H142*H143*2400+(H144*H143)</f>
        <v>4350</v>
      </c>
      <c r="I145" s="348">
        <f>+SUM(C145:H145)</f>
        <v>44430</v>
      </c>
      <c r="J145" s="237" t="s">
        <v>441</v>
      </c>
      <c r="K145" s="2"/>
      <c r="L145" s="215" t="s">
        <v>83</v>
      </c>
      <c r="M145" s="212" t="s">
        <v>431</v>
      </c>
      <c r="N145" s="213">
        <f>+N142*N143*2400+(N144*N143)</f>
        <v>6360.0000000000009</v>
      </c>
      <c r="O145" s="213">
        <f t="shared" ref="O145" si="113">+O142*O143*2400+(O144*O143)</f>
        <v>7520</v>
      </c>
      <c r="P145" s="213">
        <f t="shared" ref="P145" si="114">+P142*P143*2400+(P144*P143)</f>
        <v>11700</v>
      </c>
      <c r="Q145" s="213">
        <f t="shared" ref="Q145" si="115">+Q142*Q143*2400+(Q144*Q143)</f>
        <v>6300</v>
      </c>
      <c r="R145" s="213">
        <f t="shared" ref="R145" si="116">+R142*R143*2400+(R144*R143)</f>
        <v>8200</v>
      </c>
      <c r="S145" s="213">
        <f t="shared" ref="S145" si="117">+S142*S143*2400+(S144*S143)</f>
        <v>4350</v>
      </c>
      <c r="T145" s="348">
        <f>+SUM(N145:S145)</f>
        <v>44430</v>
      </c>
      <c r="U145" s="237" t="s">
        <v>441</v>
      </c>
    </row>
    <row r="146" spans="1:21" x14ac:dyDescent="0.5">
      <c r="A146" s="350" t="s">
        <v>22</v>
      </c>
      <c r="B146" s="342" t="s">
        <v>465</v>
      </c>
      <c r="C146" s="343" t="s">
        <v>450</v>
      </c>
      <c r="D146" s="343" t="s">
        <v>451</v>
      </c>
      <c r="E146" s="343" t="s">
        <v>452</v>
      </c>
      <c r="F146" s="343" t="s">
        <v>453</v>
      </c>
      <c r="G146" s="343" t="s">
        <v>453</v>
      </c>
      <c r="H146" s="343" t="s">
        <v>454</v>
      </c>
      <c r="I146" s="349"/>
      <c r="J146" s="349"/>
      <c r="K146" s="2"/>
      <c r="L146" s="350" t="s">
        <v>22</v>
      </c>
      <c r="M146" s="342" t="s">
        <v>465</v>
      </c>
      <c r="N146" s="343" t="s">
        <v>450</v>
      </c>
      <c r="O146" s="343" t="s">
        <v>451</v>
      </c>
      <c r="P146" s="343" t="s">
        <v>452</v>
      </c>
      <c r="Q146" s="343" t="s">
        <v>453</v>
      </c>
      <c r="R146" s="343" t="s">
        <v>453</v>
      </c>
      <c r="S146" s="343" t="s">
        <v>454</v>
      </c>
      <c r="T146" s="349"/>
      <c r="U146" s="349"/>
    </row>
    <row r="147" spans="1:21" x14ac:dyDescent="0.5">
      <c r="A147" s="528">
        <v>9</v>
      </c>
      <c r="B147" s="212" t="s">
        <v>448</v>
      </c>
      <c r="C147" s="343">
        <v>3</v>
      </c>
      <c r="D147" s="343">
        <v>3</v>
      </c>
      <c r="E147" s="343">
        <v>3</v>
      </c>
      <c r="F147" s="343">
        <v>3</v>
      </c>
      <c r="G147" s="343">
        <v>3</v>
      </c>
      <c r="H147" s="343">
        <v>3</v>
      </c>
      <c r="I147" s="346"/>
      <c r="J147" s="346"/>
      <c r="K147" s="2"/>
      <c r="L147" s="528">
        <v>10</v>
      </c>
      <c r="M147" s="212" t="s">
        <v>448</v>
      </c>
      <c r="N147" s="343">
        <v>3</v>
      </c>
      <c r="O147" s="343">
        <v>3</v>
      </c>
      <c r="P147" s="343">
        <v>3</v>
      </c>
      <c r="Q147" s="343">
        <v>3</v>
      </c>
      <c r="R147" s="343">
        <v>3</v>
      </c>
      <c r="S147" s="343">
        <v>3</v>
      </c>
      <c r="T147" s="346"/>
      <c r="U147" s="346"/>
    </row>
    <row r="148" spans="1:21" x14ac:dyDescent="0.5">
      <c r="A148" s="552"/>
      <c r="B148" s="212" t="s">
        <v>428</v>
      </c>
      <c r="C148" s="343">
        <v>5</v>
      </c>
      <c r="D148" s="343">
        <v>5</v>
      </c>
      <c r="E148" s="343">
        <v>5</v>
      </c>
      <c r="F148" s="343">
        <v>5</v>
      </c>
      <c r="G148" s="343">
        <v>5</v>
      </c>
      <c r="H148" s="343">
        <v>5</v>
      </c>
      <c r="I148" s="347">
        <f>+SUM(C148:H148)</f>
        <v>30</v>
      </c>
      <c r="J148" s="346" t="s">
        <v>16</v>
      </c>
      <c r="K148" s="2"/>
      <c r="L148" s="552"/>
      <c r="M148" s="212" t="s">
        <v>428</v>
      </c>
      <c r="N148" s="343">
        <v>5</v>
      </c>
      <c r="O148" s="343">
        <v>5</v>
      </c>
      <c r="P148" s="343">
        <v>5</v>
      </c>
      <c r="Q148" s="343">
        <v>5</v>
      </c>
      <c r="R148" s="343">
        <v>5</v>
      </c>
      <c r="S148" s="343">
        <v>5</v>
      </c>
      <c r="T148" s="347">
        <f>+SUM(N148:S148)</f>
        <v>30</v>
      </c>
      <c r="U148" s="346" t="s">
        <v>16</v>
      </c>
    </row>
    <row r="149" spans="1:21" x14ac:dyDescent="0.5">
      <c r="A149" s="529"/>
      <c r="B149" s="212" t="s">
        <v>449</v>
      </c>
      <c r="C149" s="343">
        <v>180</v>
      </c>
      <c r="D149" s="343">
        <v>180</v>
      </c>
      <c r="E149" s="343">
        <v>180</v>
      </c>
      <c r="F149" s="343">
        <v>180</v>
      </c>
      <c r="G149" s="343">
        <v>180</v>
      </c>
      <c r="H149" s="343">
        <v>180</v>
      </c>
      <c r="I149" s="346"/>
      <c r="J149" s="346"/>
      <c r="K149" s="2"/>
      <c r="L149" s="529"/>
      <c r="M149" s="212" t="s">
        <v>449</v>
      </c>
      <c r="N149" s="343">
        <v>180</v>
      </c>
      <c r="O149" s="343">
        <v>180</v>
      </c>
      <c r="P149" s="343">
        <v>180</v>
      </c>
      <c r="Q149" s="343">
        <v>180</v>
      </c>
      <c r="R149" s="343">
        <v>180</v>
      </c>
      <c r="S149" s="343">
        <v>180</v>
      </c>
      <c r="T149" s="346"/>
      <c r="U149" s="346"/>
    </row>
    <row r="150" spans="1:21" x14ac:dyDescent="0.5">
      <c r="A150" s="215" t="s">
        <v>83</v>
      </c>
      <c r="B150" s="212" t="s">
        <v>431</v>
      </c>
      <c r="C150" s="213">
        <f>+C147*C148*C149</f>
        <v>2700</v>
      </c>
      <c r="D150" s="213">
        <f t="shared" ref="D150" si="118">+D147*D148*D149</f>
        <v>2700</v>
      </c>
      <c r="E150" s="213">
        <f t="shared" ref="E150" si="119">+E147*E148*E149</f>
        <v>2700</v>
      </c>
      <c r="F150" s="213">
        <f t="shared" ref="F150" si="120">+F147*F148*F149</f>
        <v>2700</v>
      </c>
      <c r="G150" s="213">
        <f t="shared" ref="G150" si="121">+G147*G148*G149</f>
        <v>2700</v>
      </c>
      <c r="H150" s="213">
        <f t="shared" ref="H150" si="122">+H147*H148*H149</f>
        <v>2700</v>
      </c>
      <c r="I150" s="348">
        <f>+SUM(C150:H150)</f>
        <v>16200</v>
      </c>
      <c r="J150" s="237" t="s">
        <v>441</v>
      </c>
      <c r="K150" s="2"/>
      <c r="L150" s="215" t="s">
        <v>83</v>
      </c>
      <c r="M150" s="212" t="s">
        <v>431</v>
      </c>
      <c r="N150" s="213">
        <f>+N147*N148*N149</f>
        <v>2700</v>
      </c>
      <c r="O150" s="213">
        <f t="shared" ref="O150" si="123">+O147*O148*O149</f>
        <v>2700</v>
      </c>
      <c r="P150" s="213">
        <f t="shared" ref="P150" si="124">+P147*P148*P149</f>
        <v>2700</v>
      </c>
      <c r="Q150" s="213">
        <f t="shared" ref="Q150" si="125">+Q147*Q148*Q149</f>
        <v>2700</v>
      </c>
      <c r="R150" s="213">
        <f t="shared" ref="R150" si="126">+R147*R148*R149</f>
        <v>2700</v>
      </c>
      <c r="S150" s="213">
        <f t="shared" ref="S150" si="127">+S147*S148*S149</f>
        <v>2700</v>
      </c>
      <c r="T150" s="348">
        <f>+SUM(N150:S150)</f>
        <v>16200</v>
      </c>
      <c r="U150" s="237" t="s">
        <v>441</v>
      </c>
    </row>
    <row r="151" spans="1:21" x14ac:dyDescent="0.5">
      <c r="A151" s="350" t="s">
        <v>22</v>
      </c>
      <c r="B151" s="342" t="s">
        <v>466</v>
      </c>
      <c r="C151" s="343" t="s">
        <v>455</v>
      </c>
      <c r="D151" s="343" t="s">
        <v>451</v>
      </c>
      <c r="E151" s="343" t="s">
        <v>452</v>
      </c>
      <c r="F151" s="343" t="s">
        <v>453</v>
      </c>
      <c r="G151" s="343" t="s">
        <v>453</v>
      </c>
      <c r="H151" s="343" t="s">
        <v>454</v>
      </c>
      <c r="I151" s="349"/>
      <c r="J151" s="349"/>
      <c r="K151" s="2"/>
      <c r="L151" s="350" t="s">
        <v>22</v>
      </c>
      <c r="M151" s="342" t="s">
        <v>466</v>
      </c>
      <c r="N151" s="343" t="s">
        <v>455</v>
      </c>
      <c r="O151" s="343" t="s">
        <v>451</v>
      </c>
      <c r="P151" s="343" t="s">
        <v>452</v>
      </c>
      <c r="Q151" s="343" t="s">
        <v>453</v>
      </c>
      <c r="R151" s="343" t="s">
        <v>453</v>
      </c>
      <c r="S151" s="343" t="s">
        <v>454</v>
      </c>
      <c r="T151" s="349"/>
      <c r="U151" s="349"/>
    </row>
    <row r="152" spans="1:21" x14ac:dyDescent="0.5">
      <c r="A152" s="528">
        <v>9</v>
      </c>
      <c r="B152" s="212" t="s">
        <v>448</v>
      </c>
      <c r="C152" s="343">
        <v>3</v>
      </c>
      <c r="D152" s="343">
        <v>3</v>
      </c>
      <c r="E152" s="343">
        <v>3</v>
      </c>
      <c r="F152" s="343">
        <v>3</v>
      </c>
      <c r="G152" s="343">
        <v>3</v>
      </c>
      <c r="H152" s="343">
        <v>3</v>
      </c>
      <c r="I152" s="346"/>
      <c r="J152" s="346"/>
      <c r="K152" s="2"/>
      <c r="L152" s="528">
        <v>10</v>
      </c>
      <c r="M152" s="212" t="s">
        <v>448</v>
      </c>
      <c r="N152" s="343">
        <v>3</v>
      </c>
      <c r="O152" s="343">
        <v>3</v>
      </c>
      <c r="P152" s="343">
        <v>3</v>
      </c>
      <c r="Q152" s="343">
        <v>3</v>
      </c>
      <c r="R152" s="343">
        <v>3</v>
      </c>
      <c r="S152" s="343">
        <v>3</v>
      </c>
      <c r="T152" s="346"/>
      <c r="U152" s="346"/>
    </row>
    <row r="153" spans="1:21" x14ac:dyDescent="0.5">
      <c r="A153" s="552"/>
      <c r="B153" s="212" t="s">
        <v>428</v>
      </c>
      <c r="C153" s="343">
        <v>5</v>
      </c>
      <c r="D153" s="343">
        <v>5</v>
      </c>
      <c r="E153" s="343">
        <v>5</v>
      </c>
      <c r="F153" s="343">
        <v>5</v>
      </c>
      <c r="G153" s="343">
        <v>5</v>
      </c>
      <c r="H153" s="343">
        <v>5</v>
      </c>
      <c r="I153" s="347">
        <f>+SUM(C153:H153)</f>
        <v>30</v>
      </c>
      <c r="J153" s="346" t="s">
        <v>16</v>
      </c>
      <c r="K153" s="2"/>
      <c r="L153" s="552"/>
      <c r="M153" s="212" t="s">
        <v>428</v>
      </c>
      <c r="N153" s="343">
        <v>5</v>
      </c>
      <c r="O153" s="343">
        <v>5</v>
      </c>
      <c r="P153" s="343">
        <v>5</v>
      </c>
      <c r="Q153" s="343">
        <v>5</v>
      </c>
      <c r="R153" s="343">
        <v>5</v>
      </c>
      <c r="S153" s="343">
        <v>5</v>
      </c>
      <c r="T153" s="347">
        <f>+SUM(N153:S153)</f>
        <v>30</v>
      </c>
      <c r="U153" s="346" t="s">
        <v>16</v>
      </c>
    </row>
    <row r="154" spans="1:21" x14ac:dyDescent="0.5">
      <c r="A154" s="529"/>
      <c r="B154" s="212" t="s">
        <v>456</v>
      </c>
      <c r="C154" s="343">
        <v>0.2</v>
      </c>
      <c r="D154" s="343">
        <v>0.2</v>
      </c>
      <c r="E154" s="343">
        <v>0.2</v>
      </c>
      <c r="F154" s="343">
        <v>0.2</v>
      </c>
      <c r="G154" s="343">
        <v>0.2</v>
      </c>
      <c r="H154" s="343">
        <v>0.2</v>
      </c>
      <c r="I154" s="346"/>
      <c r="J154" s="346"/>
      <c r="K154" s="2"/>
      <c r="L154" s="529"/>
      <c r="M154" s="212" t="s">
        <v>456</v>
      </c>
      <c r="N154" s="343">
        <v>0.2</v>
      </c>
      <c r="O154" s="343">
        <v>0.2</v>
      </c>
      <c r="P154" s="343">
        <v>0.2</v>
      </c>
      <c r="Q154" s="343">
        <v>0.2</v>
      </c>
      <c r="R154" s="343">
        <v>0.2</v>
      </c>
      <c r="S154" s="343">
        <v>0.2</v>
      </c>
      <c r="T154" s="346"/>
      <c r="U154" s="346"/>
    </row>
    <row r="155" spans="1:21" x14ac:dyDescent="0.5">
      <c r="A155" s="215" t="s">
        <v>83</v>
      </c>
      <c r="B155" s="212" t="s">
        <v>431</v>
      </c>
      <c r="C155" s="213">
        <f t="shared" ref="C155:H155" si="128">+C154*C152*C153*2400</f>
        <v>7200.0000000000009</v>
      </c>
      <c r="D155" s="213">
        <f t="shared" si="128"/>
        <v>7200.0000000000009</v>
      </c>
      <c r="E155" s="213">
        <f t="shared" si="128"/>
        <v>7200.0000000000009</v>
      </c>
      <c r="F155" s="213">
        <f t="shared" si="128"/>
        <v>7200.0000000000009</v>
      </c>
      <c r="G155" s="213">
        <f t="shared" si="128"/>
        <v>7200.0000000000009</v>
      </c>
      <c r="H155" s="213">
        <f t="shared" si="128"/>
        <v>7200.0000000000009</v>
      </c>
      <c r="I155" s="348">
        <f>+SUM(C155:H155)</f>
        <v>43200.000000000007</v>
      </c>
      <c r="J155" s="237" t="s">
        <v>441</v>
      </c>
      <c r="K155" s="2"/>
      <c r="L155" s="215" t="s">
        <v>83</v>
      </c>
      <c r="M155" s="212" t="s">
        <v>431</v>
      </c>
      <c r="N155" s="213">
        <f t="shared" ref="N155:S155" si="129">+N154*N152*N153*2400</f>
        <v>7200.0000000000009</v>
      </c>
      <c r="O155" s="213">
        <f t="shared" si="129"/>
        <v>7200.0000000000009</v>
      </c>
      <c r="P155" s="213">
        <f t="shared" si="129"/>
        <v>7200.0000000000009</v>
      </c>
      <c r="Q155" s="213">
        <f t="shared" si="129"/>
        <v>7200.0000000000009</v>
      </c>
      <c r="R155" s="213">
        <f t="shared" si="129"/>
        <v>7200.0000000000009</v>
      </c>
      <c r="S155" s="213">
        <f t="shared" si="129"/>
        <v>7200.0000000000009</v>
      </c>
      <c r="T155" s="348">
        <f>+SUM(N155:S155)</f>
        <v>43200.000000000007</v>
      </c>
      <c r="U155" s="237" t="s">
        <v>441</v>
      </c>
    </row>
    <row r="156" spans="1:21" x14ac:dyDescent="0.5">
      <c r="A156" s="350" t="s">
        <v>22</v>
      </c>
      <c r="B156" s="342" t="s">
        <v>467</v>
      </c>
      <c r="C156" s="343" t="s">
        <v>424</v>
      </c>
      <c r="D156" s="343" t="s">
        <v>425</v>
      </c>
      <c r="E156" s="343" t="s">
        <v>426</v>
      </c>
      <c r="F156" s="343" t="s">
        <v>427</v>
      </c>
      <c r="G156" s="343" t="s">
        <v>429</v>
      </c>
      <c r="H156" s="343" t="s">
        <v>430</v>
      </c>
      <c r="I156" s="349"/>
      <c r="J156" s="349"/>
      <c r="K156" s="2"/>
      <c r="L156" s="350" t="s">
        <v>22</v>
      </c>
      <c r="M156" s="342" t="s">
        <v>467</v>
      </c>
      <c r="N156" s="343" t="s">
        <v>424</v>
      </c>
      <c r="O156" s="343" t="s">
        <v>425</v>
      </c>
      <c r="P156" s="343" t="s">
        <v>426</v>
      </c>
      <c r="Q156" s="343" t="s">
        <v>427</v>
      </c>
      <c r="R156" s="343" t="s">
        <v>429</v>
      </c>
      <c r="S156" s="343" t="s">
        <v>430</v>
      </c>
      <c r="T156" s="349"/>
      <c r="U156" s="349"/>
    </row>
    <row r="157" spans="1:21" x14ac:dyDescent="0.5">
      <c r="A157" s="528">
        <v>9</v>
      </c>
      <c r="B157" s="212" t="s">
        <v>457</v>
      </c>
      <c r="C157" s="343">
        <v>0.2</v>
      </c>
      <c r="D157" s="343">
        <v>0.2</v>
      </c>
      <c r="E157" s="343">
        <v>0.2</v>
      </c>
      <c r="F157" s="343">
        <v>0.25</v>
      </c>
      <c r="G157" s="343">
        <v>0.25</v>
      </c>
      <c r="H157" s="343">
        <v>0.25</v>
      </c>
      <c r="I157" s="346"/>
      <c r="J157" s="346"/>
      <c r="K157" s="2"/>
      <c r="L157" s="528">
        <v>10</v>
      </c>
      <c r="M157" s="212" t="s">
        <v>457</v>
      </c>
      <c r="N157" s="343">
        <v>0.2</v>
      </c>
      <c r="O157" s="343">
        <v>0.2</v>
      </c>
      <c r="P157" s="343">
        <v>0.2</v>
      </c>
      <c r="Q157" s="343">
        <v>0.25</v>
      </c>
      <c r="R157" s="343">
        <v>0.25</v>
      </c>
      <c r="S157" s="343">
        <v>0.25</v>
      </c>
      <c r="T157" s="346"/>
      <c r="U157" s="346"/>
    </row>
    <row r="158" spans="1:21" x14ac:dyDescent="0.5">
      <c r="A158" s="552"/>
      <c r="B158" s="212" t="s">
        <v>458</v>
      </c>
      <c r="C158" s="343">
        <v>0.3</v>
      </c>
      <c r="D158" s="343">
        <v>0.35</v>
      </c>
      <c r="E158" s="343">
        <v>0.4</v>
      </c>
      <c r="F158" s="343">
        <v>0.4</v>
      </c>
      <c r="G158" s="343">
        <v>0.45</v>
      </c>
      <c r="H158" s="343">
        <v>0.5</v>
      </c>
      <c r="I158" s="346"/>
      <c r="J158" s="346"/>
      <c r="K158" s="2"/>
      <c r="L158" s="552"/>
      <c r="M158" s="212" t="s">
        <v>458</v>
      </c>
      <c r="N158" s="343">
        <v>0.3</v>
      </c>
      <c r="O158" s="343">
        <v>0.35</v>
      </c>
      <c r="P158" s="343">
        <v>0.4</v>
      </c>
      <c r="Q158" s="343">
        <v>0.4</v>
      </c>
      <c r="R158" s="343">
        <v>0.45</v>
      </c>
      <c r="S158" s="343">
        <v>0.5</v>
      </c>
      <c r="T158" s="346"/>
      <c r="U158" s="346"/>
    </row>
    <row r="159" spans="1:21" x14ac:dyDescent="0.5">
      <c r="A159" s="529"/>
      <c r="B159" s="212" t="s">
        <v>459</v>
      </c>
      <c r="C159" s="343">
        <v>3</v>
      </c>
      <c r="D159" s="343">
        <v>3</v>
      </c>
      <c r="E159" s="343">
        <v>3</v>
      </c>
      <c r="F159" s="343">
        <v>3</v>
      </c>
      <c r="G159" s="343">
        <v>3</v>
      </c>
      <c r="H159" s="343">
        <v>3</v>
      </c>
      <c r="I159" s="347">
        <f>+SUM(C159:H159)</f>
        <v>18</v>
      </c>
      <c r="J159" s="346" t="s">
        <v>16</v>
      </c>
      <c r="K159" s="2"/>
      <c r="L159" s="529"/>
      <c r="M159" s="212" t="s">
        <v>459</v>
      </c>
      <c r="N159" s="343">
        <v>3</v>
      </c>
      <c r="O159" s="343">
        <v>3</v>
      </c>
      <c r="P159" s="343">
        <v>3</v>
      </c>
      <c r="Q159" s="343">
        <v>3</v>
      </c>
      <c r="R159" s="343">
        <v>3</v>
      </c>
      <c r="S159" s="343">
        <v>3</v>
      </c>
      <c r="T159" s="347">
        <f>+SUM(N159:S159)</f>
        <v>18</v>
      </c>
      <c r="U159" s="346" t="s">
        <v>16</v>
      </c>
    </row>
    <row r="160" spans="1:21" x14ac:dyDescent="0.5">
      <c r="A160" s="215" t="s">
        <v>83</v>
      </c>
      <c r="B160" s="212" t="s">
        <v>431</v>
      </c>
      <c r="C160" s="213">
        <f t="shared" ref="C160:H160" si="130">+C157*C158*C159*2400</f>
        <v>432</v>
      </c>
      <c r="D160" s="213">
        <f t="shared" si="130"/>
        <v>503.99999999999989</v>
      </c>
      <c r="E160" s="213">
        <f t="shared" si="130"/>
        <v>576.00000000000011</v>
      </c>
      <c r="F160" s="213">
        <f t="shared" si="130"/>
        <v>720.00000000000011</v>
      </c>
      <c r="G160" s="213">
        <f t="shared" si="130"/>
        <v>810</v>
      </c>
      <c r="H160" s="213">
        <f t="shared" si="130"/>
        <v>900</v>
      </c>
      <c r="I160" s="348">
        <f>+SUM(C160:H160)</f>
        <v>3942</v>
      </c>
      <c r="J160" s="237" t="s">
        <v>441</v>
      </c>
      <c r="K160" s="2"/>
      <c r="L160" s="215" t="s">
        <v>83</v>
      </c>
      <c r="M160" s="212" t="s">
        <v>431</v>
      </c>
      <c r="N160" s="213">
        <f t="shared" ref="N160:S160" si="131">+N157*N158*N159*2400</f>
        <v>432</v>
      </c>
      <c r="O160" s="213">
        <f t="shared" si="131"/>
        <v>503.99999999999989</v>
      </c>
      <c r="P160" s="213">
        <f t="shared" si="131"/>
        <v>576.00000000000011</v>
      </c>
      <c r="Q160" s="213">
        <f t="shared" si="131"/>
        <v>720.00000000000011</v>
      </c>
      <c r="R160" s="213">
        <f t="shared" si="131"/>
        <v>810</v>
      </c>
      <c r="S160" s="213">
        <f t="shared" si="131"/>
        <v>900</v>
      </c>
      <c r="T160" s="348">
        <f>+SUM(N160:S160)</f>
        <v>3942</v>
      </c>
      <c r="U160" s="237" t="s">
        <v>441</v>
      </c>
    </row>
    <row r="161" spans="1:21" x14ac:dyDescent="0.5">
      <c r="A161" s="351"/>
      <c r="B161" s="352"/>
      <c r="C161" s="352"/>
      <c r="D161" s="352"/>
      <c r="E161" s="352"/>
      <c r="F161" s="352"/>
      <c r="G161" s="352"/>
      <c r="H161" s="352"/>
      <c r="I161" s="353">
        <f>+(I160+I155+I150+I145+I140+I135)/1000</f>
        <v>151.548</v>
      </c>
      <c r="J161" s="354" t="s">
        <v>468</v>
      </c>
      <c r="K161" s="2"/>
      <c r="L161" s="351"/>
      <c r="M161" s="352"/>
      <c r="N161" s="352"/>
      <c r="O161" s="352"/>
      <c r="P161" s="352"/>
      <c r="Q161" s="352"/>
      <c r="R161" s="352"/>
      <c r="S161" s="352"/>
      <c r="T161" s="353">
        <f>+(T160+T155+T150+T145+T140+T135)/1000</f>
        <v>151.548</v>
      </c>
      <c r="U161" s="354" t="s">
        <v>468</v>
      </c>
    </row>
    <row r="163" spans="1:21" x14ac:dyDescent="0.5">
      <c r="A163" s="350" t="s">
        <v>22</v>
      </c>
      <c r="B163" s="342" t="s">
        <v>423</v>
      </c>
      <c r="C163" s="343" t="s">
        <v>424</v>
      </c>
      <c r="D163" s="343" t="s">
        <v>425</v>
      </c>
      <c r="E163" s="343" t="s">
        <v>426</v>
      </c>
      <c r="F163" s="343" t="s">
        <v>427</v>
      </c>
      <c r="G163" s="343" t="s">
        <v>429</v>
      </c>
      <c r="H163" s="343" t="s">
        <v>430</v>
      </c>
      <c r="I163" s="345"/>
      <c r="J163" s="345"/>
      <c r="K163" s="2"/>
      <c r="L163" s="350" t="s">
        <v>22</v>
      </c>
      <c r="M163" s="342" t="s">
        <v>423</v>
      </c>
      <c r="N163" s="343" t="s">
        <v>424</v>
      </c>
      <c r="O163" s="343" t="s">
        <v>425</v>
      </c>
      <c r="P163" s="343" t="s">
        <v>426</v>
      </c>
      <c r="Q163" s="343" t="s">
        <v>427</v>
      </c>
      <c r="R163" s="343" t="s">
        <v>429</v>
      </c>
      <c r="S163" s="343" t="s">
        <v>430</v>
      </c>
      <c r="T163" s="345"/>
      <c r="U163" s="345"/>
    </row>
    <row r="164" spans="1:21" x14ac:dyDescent="0.5">
      <c r="A164" s="528">
        <v>11</v>
      </c>
      <c r="B164" s="212" t="s">
        <v>457</v>
      </c>
      <c r="C164" s="343">
        <v>0.2</v>
      </c>
      <c r="D164" s="343">
        <v>0.2</v>
      </c>
      <c r="E164" s="343">
        <v>0.2</v>
      </c>
      <c r="F164" s="343">
        <v>0.25</v>
      </c>
      <c r="G164" s="343">
        <v>0.25</v>
      </c>
      <c r="H164" s="343">
        <v>0.25</v>
      </c>
      <c r="I164" s="346"/>
      <c r="J164" s="346"/>
      <c r="K164" s="2"/>
      <c r="L164" s="528">
        <v>12</v>
      </c>
      <c r="M164" s="212" t="s">
        <v>457</v>
      </c>
      <c r="N164" s="343">
        <v>0.2</v>
      </c>
      <c r="O164" s="343">
        <v>0.2</v>
      </c>
      <c r="P164" s="343">
        <v>0.2</v>
      </c>
      <c r="Q164" s="343">
        <v>0.25</v>
      </c>
      <c r="R164" s="343">
        <v>0.25</v>
      </c>
      <c r="S164" s="343">
        <v>0.25</v>
      </c>
      <c r="T164" s="346"/>
      <c r="U164" s="346"/>
    </row>
    <row r="165" spans="1:21" x14ac:dyDescent="0.5">
      <c r="A165" s="552"/>
      <c r="B165" s="212" t="s">
        <v>458</v>
      </c>
      <c r="C165" s="343">
        <v>0.3</v>
      </c>
      <c r="D165" s="343">
        <v>0.35</v>
      </c>
      <c r="E165" s="343">
        <v>0.4</v>
      </c>
      <c r="F165" s="343">
        <v>0.4</v>
      </c>
      <c r="G165" s="343">
        <v>0.45</v>
      </c>
      <c r="H165" s="343">
        <v>0.5</v>
      </c>
      <c r="I165" s="346"/>
      <c r="J165" s="346"/>
      <c r="K165" s="2"/>
      <c r="L165" s="552"/>
      <c r="M165" s="212" t="s">
        <v>458</v>
      </c>
      <c r="N165" s="343">
        <v>0.3</v>
      </c>
      <c r="O165" s="343">
        <v>0.35</v>
      </c>
      <c r="P165" s="343">
        <v>0.4</v>
      </c>
      <c r="Q165" s="343">
        <v>0.4</v>
      </c>
      <c r="R165" s="343">
        <v>0.45</v>
      </c>
      <c r="S165" s="343">
        <v>0.5</v>
      </c>
      <c r="T165" s="346"/>
      <c r="U165" s="346"/>
    </row>
    <row r="166" spans="1:21" x14ac:dyDescent="0.5">
      <c r="A166" s="529"/>
      <c r="B166" s="212" t="s">
        <v>459</v>
      </c>
      <c r="C166" s="343">
        <v>6</v>
      </c>
      <c r="D166" s="343">
        <v>4</v>
      </c>
      <c r="E166" s="343">
        <v>12</v>
      </c>
      <c r="F166" s="343">
        <v>16</v>
      </c>
      <c r="G166" s="343">
        <v>20</v>
      </c>
      <c r="H166" s="343">
        <v>20</v>
      </c>
      <c r="I166" s="347">
        <f>+SUM(C166:H166)</f>
        <v>78</v>
      </c>
      <c r="J166" s="346" t="s">
        <v>16</v>
      </c>
      <c r="K166" s="2"/>
      <c r="L166" s="529"/>
      <c r="M166" s="212" t="s">
        <v>459</v>
      </c>
      <c r="N166" s="343">
        <v>6</v>
      </c>
      <c r="O166" s="343">
        <v>4</v>
      </c>
      <c r="P166" s="343">
        <v>12</v>
      </c>
      <c r="Q166" s="343">
        <v>16</v>
      </c>
      <c r="R166" s="343">
        <v>20</v>
      </c>
      <c r="S166" s="343">
        <v>20</v>
      </c>
      <c r="T166" s="347">
        <f>+SUM(N166:S166)</f>
        <v>78</v>
      </c>
      <c r="U166" s="346" t="s">
        <v>16</v>
      </c>
    </row>
    <row r="167" spans="1:21" x14ac:dyDescent="0.5">
      <c r="A167" s="215" t="s">
        <v>83</v>
      </c>
      <c r="B167" s="212" t="s">
        <v>431</v>
      </c>
      <c r="C167" s="213">
        <f t="shared" ref="C167:H167" si="132">+C164*C165*C166*2400</f>
        <v>864</v>
      </c>
      <c r="D167" s="213">
        <f t="shared" si="132"/>
        <v>671.99999999999989</v>
      </c>
      <c r="E167" s="213">
        <f t="shared" si="132"/>
        <v>2304.0000000000005</v>
      </c>
      <c r="F167" s="213">
        <f t="shared" si="132"/>
        <v>3840</v>
      </c>
      <c r="G167" s="213">
        <f t="shared" si="132"/>
        <v>5400</v>
      </c>
      <c r="H167" s="213">
        <f t="shared" si="132"/>
        <v>6000</v>
      </c>
      <c r="I167" s="348">
        <f>+SUM(C167:H167)</f>
        <v>19080</v>
      </c>
      <c r="J167" s="237" t="s">
        <v>439</v>
      </c>
      <c r="K167" s="2"/>
      <c r="L167" s="215" t="s">
        <v>83</v>
      </c>
      <c r="M167" s="212" t="s">
        <v>431</v>
      </c>
      <c r="N167" s="213">
        <f t="shared" ref="N167:S167" si="133">+N164*N165*N166*2400</f>
        <v>864</v>
      </c>
      <c r="O167" s="213">
        <f t="shared" si="133"/>
        <v>671.99999999999989</v>
      </c>
      <c r="P167" s="213">
        <f t="shared" si="133"/>
        <v>2304.0000000000005</v>
      </c>
      <c r="Q167" s="213">
        <f t="shared" si="133"/>
        <v>3840</v>
      </c>
      <c r="R167" s="213">
        <f t="shared" si="133"/>
        <v>5400</v>
      </c>
      <c r="S167" s="213">
        <f t="shared" si="133"/>
        <v>6000</v>
      </c>
      <c r="T167" s="348">
        <f>+SUM(N167:S167)</f>
        <v>19080</v>
      </c>
      <c r="U167" s="237" t="s">
        <v>439</v>
      </c>
    </row>
    <row r="168" spans="1:21" x14ac:dyDescent="0.5">
      <c r="A168" s="350" t="s">
        <v>22</v>
      </c>
      <c r="B168" s="342" t="s">
        <v>463</v>
      </c>
      <c r="C168" s="343" t="s">
        <v>432</v>
      </c>
      <c r="D168" s="343" t="s">
        <v>433</v>
      </c>
      <c r="E168" s="343" t="s">
        <v>434</v>
      </c>
      <c r="F168" s="343" t="s">
        <v>435</v>
      </c>
      <c r="G168" s="343" t="s">
        <v>436</v>
      </c>
      <c r="H168" s="343" t="s">
        <v>437</v>
      </c>
      <c r="I168" s="349"/>
      <c r="J168" s="349"/>
      <c r="K168" s="2"/>
      <c r="L168" s="350" t="s">
        <v>22</v>
      </c>
      <c r="M168" s="342" t="s">
        <v>463</v>
      </c>
      <c r="N168" s="343" t="s">
        <v>432</v>
      </c>
      <c r="O168" s="343" t="s">
        <v>433</v>
      </c>
      <c r="P168" s="343" t="s">
        <v>434</v>
      </c>
      <c r="Q168" s="343" t="s">
        <v>435</v>
      </c>
      <c r="R168" s="343" t="s">
        <v>436</v>
      </c>
      <c r="S168" s="343" t="s">
        <v>437</v>
      </c>
      <c r="T168" s="349"/>
      <c r="U168" s="349"/>
    </row>
    <row r="169" spans="1:21" x14ac:dyDescent="0.5">
      <c r="A169" s="528">
        <v>11</v>
      </c>
      <c r="B169" s="212" t="s">
        <v>421</v>
      </c>
      <c r="C169" s="343">
        <v>0.2</v>
      </c>
      <c r="D169" s="343">
        <v>0.2</v>
      </c>
      <c r="E169" s="343">
        <v>0.2</v>
      </c>
      <c r="F169" s="343">
        <v>0.4</v>
      </c>
      <c r="G169" s="343">
        <v>0.25</v>
      </c>
      <c r="H169" s="343">
        <v>0.5</v>
      </c>
      <c r="I169" s="346"/>
      <c r="J169" s="346"/>
      <c r="K169" s="2"/>
      <c r="L169" s="528">
        <v>12</v>
      </c>
      <c r="M169" s="212" t="s">
        <v>421</v>
      </c>
      <c r="N169" s="343">
        <v>0.2</v>
      </c>
      <c r="O169" s="343">
        <v>0.2</v>
      </c>
      <c r="P169" s="343">
        <v>0.2</v>
      </c>
      <c r="Q169" s="343">
        <v>0.4</v>
      </c>
      <c r="R169" s="343">
        <v>0.25</v>
      </c>
      <c r="S169" s="343">
        <v>0.5</v>
      </c>
      <c r="T169" s="346"/>
      <c r="U169" s="346"/>
    </row>
    <row r="170" spans="1:21" x14ac:dyDescent="0.5">
      <c r="A170" s="552"/>
      <c r="B170" s="212" t="s">
        <v>422</v>
      </c>
      <c r="C170" s="343">
        <v>0.2</v>
      </c>
      <c r="D170" s="343">
        <v>0.35</v>
      </c>
      <c r="E170" s="343">
        <v>0.4</v>
      </c>
      <c r="F170" s="343">
        <v>0.4</v>
      </c>
      <c r="G170" s="343">
        <v>0.25</v>
      </c>
      <c r="H170" s="343">
        <v>0.5</v>
      </c>
      <c r="I170" s="346"/>
      <c r="J170" s="346"/>
      <c r="K170" s="2"/>
      <c r="L170" s="552"/>
      <c r="M170" s="212" t="s">
        <v>422</v>
      </c>
      <c r="N170" s="343">
        <v>0.2</v>
      </c>
      <c r="O170" s="343">
        <v>0.35</v>
      </c>
      <c r="P170" s="343">
        <v>0.4</v>
      </c>
      <c r="Q170" s="343">
        <v>0.4</v>
      </c>
      <c r="R170" s="343">
        <v>0.25</v>
      </c>
      <c r="S170" s="343">
        <v>0.5</v>
      </c>
      <c r="T170" s="346"/>
      <c r="U170" s="346"/>
    </row>
    <row r="171" spans="1:21" x14ac:dyDescent="0.5">
      <c r="A171" s="529"/>
      <c r="B171" s="212" t="s">
        <v>438</v>
      </c>
      <c r="C171" s="343">
        <v>6</v>
      </c>
      <c r="D171" s="343">
        <v>4</v>
      </c>
      <c r="E171" s="343">
        <v>12</v>
      </c>
      <c r="F171" s="343">
        <v>16</v>
      </c>
      <c r="G171" s="343">
        <v>20</v>
      </c>
      <c r="H171" s="343">
        <v>20</v>
      </c>
      <c r="I171" s="347">
        <f>+SUM(C171:H171)</f>
        <v>78</v>
      </c>
      <c r="J171" s="346" t="s">
        <v>440</v>
      </c>
      <c r="K171" s="2"/>
      <c r="L171" s="529"/>
      <c r="M171" s="212" t="s">
        <v>438</v>
      </c>
      <c r="N171" s="343">
        <v>6</v>
      </c>
      <c r="O171" s="343">
        <v>4</v>
      </c>
      <c r="P171" s="343">
        <v>12</v>
      </c>
      <c r="Q171" s="343">
        <v>16</v>
      </c>
      <c r="R171" s="343">
        <v>20</v>
      </c>
      <c r="S171" s="343">
        <v>20</v>
      </c>
      <c r="T171" s="347">
        <f>+SUM(N171:S171)</f>
        <v>78</v>
      </c>
      <c r="U171" s="346" t="s">
        <v>440</v>
      </c>
    </row>
    <row r="172" spans="1:21" x14ac:dyDescent="0.5">
      <c r="A172" s="215" t="s">
        <v>83</v>
      </c>
      <c r="B172" s="212" t="s">
        <v>431</v>
      </c>
      <c r="C172" s="213">
        <f t="shared" ref="C172:H172" si="134">+C169*C170*C171*2400</f>
        <v>576.00000000000011</v>
      </c>
      <c r="D172" s="213">
        <f t="shared" si="134"/>
        <v>671.99999999999989</v>
      </c>
      <c r="E172" s="213">
        <f t="shared" si="134"/>
        <v>2304.0000000000005</v>
      </c>
      <c r="F172" s="213">
        <f t="shared" si="134"/>
        <v>6144.0000000000009</v>
      </c>
      <c r="G172" s="213">
        <f t="shared" si="134"/>
        <v>3000</v>
      </c>
      <c r="H172" s="213">
        <f t="shared" si="134"/>
        <v>12000</v>
      </c>
      <c r="I172" s="348">
        <f>+SUM(C172:H172)</f>
        <v>24696</v>
      </c>
      <c r="J172" s="237" t="s">
        <v>441</v>
      </c>
      <c r="K172" s="2"/>
      <c r="L172" s="215" t="s">
        <v>83</v>
      </c>
      <c r="M172" s="212" t="s">
        <v>431</v>
      </c>
      <c r="N172" s="213">
        <f t="shared" ref="N172:S172" si="135">+N169*N170*N171*2400</f>
        <v>576.00000000000011</v>
      </c>
      <c r="O172" s="213">
        <f t="shared" si="135"/>
        <v>671.99999999999989</v>
      </c>
      <c r="P172" s="213">
        <f t="shared" si="135"/>
        <v>2304.0000000000005</v>
      </c>
      <c r="Q172" s="213">
        <f t="shared" si="135"/>
        <v>6144.0000000000009</v>
      </c>
      <c r="R172" s="213">
        <f t="shared" si="135"/>
        <v>3000</v>
      </c>
      <c r="S172" s="213">
        <f t="shared" si="135"/>
        <v>12000</v>
      </c>
      <c r="T172" s="348">
        <f>+SUM(N172:S172)</f>
        <v>24696</v>
      </c>
      <c r="U172" s="237" t="s">
        <v>441</v>
      </c>
    </row>
    <row r="173" spans="1:21" x14ac:dyDescent="0.5">
      <c r="A173" s="350" t="s">
        <v>22</v>
      </c>
      <c r="B173" s="342" t="s">
        <v>464</v>
      </c>
      <c r="C173" s="343" t="s">
        <v>215</v>
      </c>
      <c r="D173" s="343" t="s">
        <v>442</v>
      </c>
      <c r="E173" s="343" t="s">
        <v>443</v>
      </c>
      <c r="F173" s="343" t="s">
        <v>444</v>
      </c>
      <c r="G173" s="343" t="s">
        <v>445</v>
      </c>
      <c r="H173" s="343" t="s">
        <v>446</v>
      </c>
      <c r="I173" s="349"/>
      <c r="J173" s="349"/>
      <c r="K173" s="2"/>
      <c r="L173" s="350" t="s">
        <v>22</v>
      </c>
      <c r="M173" s="342" t="s">
        <v>464</v>
      </c>
      <c r="N173" s="343" t="s">
        <v>215</v>
      </c>
      <c r="O173" s="343" t="s">
        <v>442</v>
      </c>
      <c r="P173" s="343" t="s">
        <v>443</v>
      </c>
      <c r="Q173" s="343" t="s">
        <v>444</v>
      </c>
      <c r="R173" s="343" t="s">
        <v>445</v>
      </c>
      <c r="S173" s="343" t="s">
        <v>446</v>
      </c>
      <c r="T173" s="349"/>
      <c r="U173" s="349"/>
    </row>
    <row r="174" spans="1:21" x14ac:dyDescent="0.5">
      <c r="A174" s="528">
        <v>11</v>
      </c>
      <c r="B174" s="212" t="s">
        <v>460</v>
      </c>
      <c r="C174" s="343">
        <v>0.2</v>
      </c>
      <c r="D174" s="343">
        <v>0.17499999999999999</v>
      </c>
      <c r="E174" s="343">
        <v>0.25</v>
      </c>
      <c r="F174" s="343">
        <v>0.125</v>
      </c>
      <c r="G174" s="343">
        <v>0.15</v>
      </c>
      <c r="H174" s="343">
        <v>0.1</v>
      </c>
      <c r="I174" s="346"/>
      <c r="J174" s="346"/>
      <c r="K174" s="2"/>
      <c r="L174" s="528">
        <v>10</v>
      </c>
      <c r="M174" s="212" t="s">
        <v>460</v>
      </c>
      <c r="N174" s="343">
        <v>0.2</v>
      </c>
      <c r="O174" s="343">
        <v>0.17499999999999999</v>
      </c>
      <c r="P174" s="343">
        <v>0.25</v>
      </c>
      <c r="Q174" s="343">
        <v>0.125</v>
      </c>
      <c r="R174" s="343">
        <v>0.15</v>
      </c>
      <c r="S174" s="343">
        <v>0.1</v>
      </c>
      <c r="T174" s="346"/>
      <c r="U174" s="346"/>
    </row>
    <row r="175" spans="1:21" x14ac:dyDescent="0.5">
      <c r="A175" s="552"/>
      <c r="B175" s="212" t="s">
        <v>461</v>
      </c>
      <c r="C175" s="343">
        <v>12</v>
      </c>
      <c r="D175" s="343">
        <v>16</v>
      </c>
      <c r="E175" s="343">
        <v>18</v>
      </c>
      <c r="F175" s="343">
        <v>18</v>
      </c>
      <c r="G175" s="343">
        <v>20</v>
      </c>
      <c r="H175" s="343">
        <v>15</v>
      </c>
      <c r="I175" s="347">
        <f>+SUM(C175:H175)</f>
        <v>99</v>
      </c>
      <c r="J175" s="346" t="s">
        <v>447</v>
      </c>
      <c r="K175" s="2"/>
      <c r="L175" s="552"/>
      <c r="M175" s="212" t="s">
        <v>461</v>
      </c>
      <c r="N175" s="343">
        <v>12</v>
      </c>
      <c r="O175" s="343">
        <v>16</v>
      </c>
      <c r="P175" s="343">
        <v>18</v>
      </c>
      <c r="Q175" s="343">
        <v>18</v>
      </c>
      <c r="R175" s="343">
        <v>20</v>
      </c>
      <c r="S175" s="343">
        <v>15</v>
      </c>
      <c r="T175" s="347">
        <f>+SUM(N175:S175)</f>
        <v>99</v>
      </c>
      <c r="U175" s="346" t="s">
        <v>447</v>
      </c>
    </row>
    <row r="176" spans="1:21" x14ac:dyDescent="0.5">
      <c r="A176" s="344"/>
      <c r="B176" s="212" t="s">
        <v>462</v>
      </c>
      <c r="C176" s="343">
        <v>50</v>
      </c>
      <c r="D176" s="343">
        <v>50</v>
      </c>
      <c r="E176" s="343">
        <v>50</v>
      </c>
      <c r="F176" s="343">
        <v>50</v>
      </c>
      <c r="G176" s="343">
        <v>50</v>
      </c>
      <c r="H176" s="343">
        <v>50</v>
      </c>
      <c r="I176" s="347"/>
      <c r="J176" s="346"/>
      <c r="K176" s="2"/>
      <c r="L176" s="528">
        <v>12</v>
      </c>
      <c r="M176" s="212" t="s">
        <v>462</v>
      </c>
      <c r="N176" s="343">
        <v>50</v>
      </c>
      <c r="O176" s="343">
        <v>50</v>
      </c>
      <c r="P176" s="343">
        <v>50</v>
      </c>
      <c r="Q176" s="343">
        <v>50</v>
      </c>
      <c r="R176" s="343">
        <v>50</v>
      </c>
      <c r="S176" s="343">
        <v>50</v>
      </c>
      <c r="T176" s="347"/>
      <c r="U176" s="346"/>
    </row>
    <row r="177" spans="1:21" x14ac:dyDescent="0.5">
      <c r="A177" s="215" t="s">
        <v>83</v>
      </c>
      <c r="B177" s="212" t="s">
        <v>431</v>
      </c>
      <c r="C177" s="213">
        <f>+C174*C175*2400+(C176*C175)</f>
        <v>6360.0000000000009</v>
      </c>
      <c r="D177" s="213">
        <f t="shared" ref="D177" si="136">+D174*D175*2400+(D176*D175)</f>
        <v>7520</v>
      </c>
      <c r="E177" s="213">
        <f t="shared" ref="E177" si="137">+E174*E175*2400+(E176*E175)</f>
        <v>11700</v>
      </c>
      <c r="F177" s="213">
        <f t="shared" ref="F177" si="138">+F174*F175*2400+(F176*F175)</f>
        <v>6300</v>
      </c>
      <c r="G177" s="213">
        <f t="shared" ref="G177" si="139">+G174*G175*2400+(G176*G175)</f>
        <v>8200</v>
      </c>
      <c r="H177" s="213">
        <f t="shared" ref="H177" si="140">+H174*H175*2400+(H176*H175)</f>
        <v>4350</v>
      </c>
      <c r="I177" s="348">
        <f>+SUM(C177:H177)</f>
        <v>44430</v>
      </c>
      <c r="J177" s="237" t="s">
        <v>441</v>
      </c>
      <c r="K177" s="2"/>
      <c r="L177" s="552"/>
      <c r="M177" s="212" t="s">
        <v>431</v>
      </c>
      <c r="N177" s="213">
        <f>+N174*N175*2400+(N176*N175)</f>
        <v>6360.0000000000009</v>
      </c>
      <c r="O177" s="213">
        <f t="shared" ref="O177" si="141">+O174*O175*2400+(O176*O175)</f>
        <v>7520</v>
      </c>
      <c r="P177" s="213">
        <f t="shared" ref="P177" si="142">+P174*P175*2400+(P176*P175)</f>
        <v>11700</v>
      </c>
      <c r="Q177" s="213">
        <f t="shared" ref="Q177" si="143">+Q174*Q175*2400+(Q176*Q175)</f>
        <v>6300</v>
      </c>
      <c r="R177" s="213">
        <f t="shared" ref="R177" si="144">+R174*R175*2400+(R176*R175)</f>
        <v>8200</v>
      </c>
      <c r="S177" s="213">
        <f t="shared" ref="S177" si="145">+S174*S175*2400+(S176*S175)</f>
        <v>4350</v>
      </c>
      <c r="T177" s="348">
        <f>+SUM(N177:S177)</f>
        <v>44430</v>
      </c>
      <c r="U177" s="237" t="s">
        <v>441</v>
      </c>
    </row>
    <row r="178" spans="1:21" x14ac:dyDescent="0.5">
      <c r="A178" s="350" t="s">
        <v>22</v>
      </c>
      <c r="B178" s="342" t="s">
        <v>465</v>
      </c>
      <c r="C178" s="343" t="s">
        <v>450</v>
      </c>
      <c r="D178" s="343" t="s">
        <v>451</v>
      </c>
      <c r="E178" s="343" t="s">
        <v>452</v>
      </c>
      <c r="F178" s="343" t="s">
        <v>453</v>
      </c>
      <c r="G178" s="343" t="s">
        <v>453</v>
      </c>
      <c r="H178" s="343" t="s">
        <v>454</v>
      </c>
      <c r="I178" s="349"/>
      <c r="J178" s="349"/>
      <c r="K178" s="2"/>
      <c r="L178" s="529"/>
      <c r="M178" s="342" t="s">
        <v>465</v>
      </c>
      <c r="N178" s="343" t="s">
        <v>450</v>
      </c>
      <c r="O178" s="343" t="s">
        <v>451</v>
      </c>
      <c r="P178" s="343" t="s">
        <v>452</v>
      </c>
      <c r="Q178" s="343" t="s">
        <v>453</v>
      </c>
      <c r="R178" s="343" t="s">
        <v>453</v>
      </c>
      <c r="S178" s="343" t="s">
        <v>454</v>
      </c>
      <c r="T178" s="349"/>
      <c r="U178" s="349"/>
    </row>
    <row r="179" spans="1:21" x14ac:dyDescent="0.5">
      <c r="A179" s="528">
        <v>11</v>
      </c>
      <c r="B179" s="212" t="s">
        <v>448</v>
      </c>
      <c r="C179" s="343">
        <v>3</v>
      </c>
      <c r="D179" s="343">
        <v>3</v>
      </c>
      <c r="E179" s="343">
        <v>3</v>
      </c>
      <c r="F179" s="343">
        <v>3</v>
      </c>
      <c r="G179" s="343">
        <v>3</v>
      </c>
      <c r="H179" s="343">
        <v>3</v>
      </c>
      <c r="I179" s="346"/>
      <c r="J179" s="346"/>
      <c r="K179" s="2"/>
      <c r="L179" s="528">
        <v>12</v>
      </c>
      <c r="M179" s="212" t="s">
        <v>448</v>
      </c>
      <c r="N179" s="343">
        <v>3</v>
      </c>
      <c r="O179" s="343">
        <v>3</v>
      </c>
      <c r="P179" s="343">
        <v>3</v>
      </c>
      <c r="Q179" s="343">
        <v>3</v>
      </c>
      <c r="R179" s="343">
        <v>3</v>
      </c>
      <c r="S179" s="343">
        <v>3</v>
      </c>
      <c r="T179" s="346"/>
      <c r="U179" s="346"/>
    </row>
    <row r="180" spans="1:21" x14ac:dyDescent="0.5">
      <c r="A180" s="552"/>
      <c r="B180" s="212" t="s">
        <v>428</v>
      </c>
      <c r="C180" s="343">
        <v>5</v>
      </c>
      <c r="D180" s="343">
        <v>5</v>
      </c>
      <c r="E180" s="343">
        <v>5</v>
      </c>
      <c r="F180" s="343">
        <v>5</v>
      </c>
      <c r="G180" s="343">
        <v>5</v>
      </c>
      <c r="H180" s="343">
        <v>5</v>
      </c>
      <c r="I180" s="347">
        <f>+SUM(C180:H180)</f>
        <v>30</v>
      </c>
      <c r="J180" s="346" t="s">
        <v>16</v>
      </c>
      <c r="K180" s="2"/>
      <c r="L180" s="552"/>
      <c r="M180" s="212" t="s">
        <v>428</v>
      </c>
      <c r="N180" s="343">
        <v>5</v>
      </c>
      <c r="O180" s="343">
        <v>5</v>
      </c>
      <c r="P180" s="343">
        <v>5</v>
      </c>
      <c r="Q180" s="343">
        <v>5</v>
      </c>
      <c r="R180" s="343">
        <v>5</v>
      </c>
      <c r="S180" s="343">
        <v>5</v>
      </c>
      <c r="T180" s="347">
        <f>+SUM(N180:S180)</f>
        <v>30</v>
      </c>
      <c r="U180" s="346" t="s">
        <v>16</v>
      </c>
    </row>
    <row r="181" spans="1:21" x14ac:dyDescent="0.5">
      <c r="A181" s="529"/>
      <c r="B181" s="212" t="s">
        <v>449</v>
      </c>
      <c r="C181" s="343">
        <v>180</v>
      </c>
      <c r="D181" s="343">
        <v>180</v>
      </c>
      <c r="E181" s="343">
        <v>180</v>
      </c>
      <c r="F181" s="343">
        <v>180</v>
      </c>
      <c r="G181" s="343">
        <v>180</v>
      </c>
      <c r="H181" s="343">
        <v>180</v>
      </c>
      <c r="I181" s="346"/>
      <c r="J181" s="346"/>
      <c r="K181" s="2"/>
      <c r="L181" s="529"/>
      <c r="M181" s="212" t="s">
        <v>449</v>
      </c>
      <c r="N181" s="343">
        <v>180</v>
      </c>
      <c r="O181" s="343">
        <v>180</v>
      </c>
      <c r="P181" s="343">
        <v>180</v>
      </c>
      <c r="Q181" s="343">
        <v>180</v>
      </c>
      <c r="R181" s="343">
        <v>180</v>
      </c>
      <c r="S181" s="343">
        <v>180</v>
      </c>
      <c r="T181" s="346"/>
      <c r="U181" s="346"/>
    </row>
    <row r="182" spans="1:21" x14ac:dyDescent="0.5">
      <c r="A182" s="215" t="s">
        <v>83</v>
      </c>
      <c r="B182" s="212" t="s">
        <v>431</v>
      </c>
      <c r="C182" s="213">
        <f>+C179*C180*C181</f>
        <v>2700</v>
      </c>
      <c r="D182" s="213">
        <f t="shared" ref="D182" si="146">+D179*D180*D181</f>
        <v>2700</v>
      </c>
      <c r="E182" s="213">
        <f t="shared" ref="E182" si="147">+E179*E180*E181</f>
        <v>2700</v>
      </c>
      <c r="F182" s="213">
        <f t="shared" ref="F182" si="148">+F179*F180*F181</f>
        <v>2700</v>
      </c>
      <c r="G182" s="213">
        <f t="shared" ref="G182" si="149">+G179*G180*G181</f>
        <v>2700</v>
      </c>
      <c r="H182" s="213">
        <f t="shared" ref="H182" si="150">+H179*H180*H181</f>
        <v>2700</v>
      </c>
      <c r="I182" s="348">
        <f>+SUM(C182:H182)</f>
        <v>16200</v>
      </c>
      <c r="J182" s="237" t="s">
        <v>441</v>
      </c>
      <c r="K182" s="2"/>
      <c r="L182" s="215" t="s">
        <v>83</v>
      </c>
      <c r="M182" s="212" t="s">
        <v>431</v>
      </c>
      <c r="N182" s="213">
        <f>+N179*N180*N181</f>
        <v>2700</v>
      </c>
      <c r="O182" s="213">
        <f t="shared" ref="O182" si="151">+O179*O180*O181</f>
        <v>2700</v>
      </c>
      <c r="P182" s="213">
        <f t="shared" ref="P182" si="152">+P179*P180*P181</f>
        <v>2700</v>
      </c>
      <c r="Q182" s="213">
        <f t="shared" ref="Q182" si="153">+Q179*Q180*Q181</f>
        <v>2700</v>
      </c>
      <c r="R182" s="213">
        <f t="shared" ref="R182" si="154">+R179*R180*R181</f>
        <v>2700</v>
      </c>
      <c r="S182" s="213">
        <f t="shared" ref="S182" si="155">+S179*S180*S181</f>
        <v>2700</v>
      </c>
      <c r="T182" s="348">
        <f>+SUM(N182:S182)</f>
        <v>16200</v>
      </c>
      <c r="U182" s="237" t="s">
        <v>441</v>
      </c>
    </row>
    <row r="183" spans="1:21" x14ac:dyDescent="0.5">
      <c r="A183" s="350" t="s">
        <v>22</v>
      </c>
      <c r="B183" s="342" t="s">
        <v>466</v>
      </c>
      <c r="C183" s="343" t="s">
        <v>455</v>
      </c>
      <c r="D183" s="343" t="s">
        <v>451</v>
      </c>
      <c r="E183" s="343" t="s">
        <v>452</v>
      </c>
      <c r="F183" s="343" t="s">
        <v>453</v>
      </c>
      <c r="G183" s="343" t="s">
        <v>453</v>
      </c>
      <c r="H183" s="343" t="s">
        <v>454</v>
      </c>
      <c r="I183" s="349"/>
      <c r="J183" s="349"/>
      <c r="K183" s="2"/>
      <c r="L183" s="350" t="s">
        <v>22</v>
      </c>
      <c r="M183" s="342" t="s">
        <v>466</v>
      </c>
      <c r="N183" s="343" t="s">
        <v>455</v>
      </c>
      <c r="O183" s="343" t="s">
        <v>451</v>
      </c>
      <c r="P183" s="343" t="s">
        <v>452</v>
      </c>
      <c r="Q183" s="343" t="s">
        <v>453</v>
      </c>
      <c r="R183" s="343" t="s">
        <v>453</v>
      </c>
      <c r="S183" s="343" t="s">
        <v>454</v>
      </c>
      <c r="T183" s="349"/>
      <c r="U183" s="349"/>
    </row>
    <row r="184" spans="1:21" x14ac:dyDescent="0.5">
      <c r="A184" s="528">
        <v>11</v>
      </c>
      <c r="B184" s="212" t="s">
        <v>448</v>
      </c>
      <c r="C184" s="343">
        <v>3</v>
      </c>
      <c r="D184" s="343">
        <v>3</v>
      </c>
      <c r="E184" s="343">
        <v>3</v>
      </c>
      <c r="F184" s="343">
        <v>3</v>
      </c>
      <c r="G184" s="343">
        <v>3</v>
      </c>
      <c r="H184" s="343">
        <v>3</v>
      </c>
      <c r="I184" s="346"/>
      <c r="J184" s="346"/>
      <c r="K184" s="2"/>
      <c r="L184" s="528">
        <v>12</v>
      </c>
      <c r="M184" s="212" t="s">
        <v>448</v>
      </c>
      <c r="N184" s="343">
        <v>3</v>
      </c>
      <c r="O184" s="343">
        <v>3</v>
      </c>
      <c r="P184" s="343">
        <v>3</v>
      </c>
      <c r="Q184" s="343">
        <v>3</v>
      </c>
      <c r="R184" s="343">
        <v>3</v>
      </c>
      <c r="S184" s="343">
        <v>3</v>
      </c>
      <c r="T184" s="346"/>
      <c r="U184" s="346"/>
    </row>
    <row r="185" spans="1:21" x14ac:dyDescent="0.5">
      <c r="A185" s="552"/>
      <c r="B185" s="212" t="s">
        <v>428</v>
      </c>
      <c r="C185" s="343">
        <v>5</v>
      </c>
      <c r="D185" s="343">
        <v>5</v>
      </c>
      <c r="E185" s="343">
        <v>5</v>
      </c>
      <c r="F185" s="343">
        <v>5</v>
      </c>
      <c r="G185" s="343">
        <v>5</v>
      </c>
      <c r="H185" s="343">
        <v>5</v>
      </c>
      <c r="I185" s="347">
        <f>+SUM(C185:H185)</f>
        <v>30</v>
      </c>
      <c r="J185" s="346" t="s">
        <v>16</v>
      </c>
      <c r="K185" s="2"/>
      <c r="L185" s="552"/>
      <c r="M185" s="212" t="s">
        <v>428</v>
      </c>
      <c r="N185" s="343">
        <v>5</v>
      </c>
      <c r="O185" s="343">
        <v>5</v>
      </c>
      <c r="P185" s="343">
        <v>5</v>
      </c>
      <c r="Q185" s="343">
        <v>5</v>
      </c>
      <c r="R185" s="343">
        <v>5</v>
      </c>
      <c r="S185" s="343">
        <v>5</v>
      </c>
      <c r="T185" s="347">
        <f>+SUM(N185:S185)</f>
        <v>30</v>
      </c>
      <c r="U185" s="346" t="s">
        <v>16</v>
      </c>
    </row>
    <row r="186" spans="1:21" x14ac:dyDescent="0.5">
      <c r="A186" s="529"/>
      <c r="B186" s="212" t="s">
        <v>456</v>
      </c>
      <c r="C186" s="343">
        <v>0.2</v>
      </c>
      <c r="D186" s="343">
        <v>0.2</v>
      </c>
      <c r="E186" s="343">
        <v>0.2</v>
      </c>
      <c r="F186" s="343">
        <v>0.2</v>
      </c>
      <c r="G186" s="343">
        <v>0.2</v>
      </c>
      <c r="H186" s="343">
        <v>0.2</v>
      </c>
      <c r="I186" s="346"/>
      <c r="J186" s="346"/>
      <c r="K186" s="2"/>
      <c r="L186" s="529"/>
      <c r="M186" s="212" t="s">
        <v>456</v>
      </c>
      <c r="N186" s="343">
        <v>0.2</v>
      </c>
      <c r="O186" s="343">
        <v>0.2</v>
      </c>
      <c r="P186" s="343">
        <v>0.2</v>
      </c>
      <c r="Q186" s="343">
        <v>0.2</v>
      </c>
      <c r="R186" s="343">
        <v>0.2</v>
      </c>
      <c r="S186" s="343">
        <v>0.2</v>
      </c>
      <c r="T186" s="346"/>
      <c r="U186" s="346"/>
    </row>
    <row r="187" spans="1:21" x14ac:dyDescent="0.5">
      <c r="A187" s="215" t="s">
        <v>83</v>
      </c>
      <c r="B187" s="212" t="s">
        <v>431</v>
      </c>
      <c r="C187" s="213">
        <f t="shared" ref="C187:H187" si="156">+C186*C184*C185*2400</f>
        <v>7200.0000000000009</v>
      </c>
      <c r="D187" s="213">
        <f t="shared" si="156"/>
        <v>7200.0000000000009</v>
      </c>
      <c r="E187" s="213">
        <f t="shared" si="156"/>
        <v>7200.0000000000009</v>
      </c>
      <c r="F187" s="213">
        <f t="shared" si="156"/>
        <v>7200.0000000000009</v>
      </c>
      <c r="G187" s="213">
        <f t="shared" si="156"/>
        <v>7200.0000000000009</v>
      </c>
      <c r="H187" s="213">
        <f t="shared" si="156"/>
        <v>7200.0000000000009</v>
      </c>
      <c r="I187" s="348">
        <f>+SUM(C187:H187)</f>
        <v>43200.000000000007</v>
      </c>
      <c r="J187" s="237" t="s">
        <v>441</v>
      </c>
      <c r="K187" s="2"/>
      <c r="L187" s="215" t="s">
        <v>83</v>
      </c>
      <c r="M187" s="212" t="s">
        <v>431</v>
      </c>
      <c r="N187" s="213">
        <f t="shared" ref="N187:S187" si="157">+N186*N184*N185*2400</f>
        <v>7200.0000000000009</v>
      </c>
      <c r="O187" s="213">
        <f t="shared" si="157"/>
        <v>7200.0000000000009</v>
      </c>
      <c r="P187" s="213">
        <f t="shared" si="157"/>
        <v>7200.0000000000009</v>
      </c>
      <c r="Q187" s="213">
        <f t="shared" si="157"/>
        <v>7200.0000000000009</v>
      </c>
      <c r="R187" s="213">
        <f t="shared" si="157"/>
        <v>7200.0000000000009</v>
      </c>
      <c r="S187" s="213">
        <f t="shared" si="157"/>
        <v>7200.0000000000009</v>
      </c>
      <c r="T187" s="348">
        <f>+SUM(N187:S187)</f>
        <v>43200.000000000007</v>
      </c>
      <c r="U187" s="237" t="s">
        <v>441</v>
      </c>
    </row>
    <row r="188" spans="1:21" x14ac:dyDescent="0.5">
      <c r="A188" s="350" t="s">
        <v>22</v>
      </c>
      <c r="B188" s="342" t="s">
        <v>467</v>
      </c>
      <c r="C188" s="343" t="s">
        <v>424</v>
      </c>
      <c r="D188" s="343" t="s">
        <v>425</v>
      </c>
      <c r="E188" s="343" t="s">
        <v>426</v>
      </c>
      <c r="F188" s="343" t="s">
        <v>427</v>
      </c>
      <c r="G188" s="343" t="s">
        <v>429</v>
      </c>
      <c r="H188" s="343" t="s">
        <v>430</v>
      </c>
      <c r="I188" s="349"/>
      <c r="J188" s="349"/>
      <c r="K188" s="2"/>
      <c r="L188" s="350" t="s">
        <v>22</v>
      </c>
      <c r="M188" s="342" t="s">
        <v>467</v>
      </c>
      <c r="N188" s="343" t="s">
        <v>424</v>
      </c>
      <c r="O188" s="343" t="s">
        <v>425</v>
      </c>
      <c r="P188" s="343" t="s">
        <v>426</v>
      </c>
      <c r="Q188" s="343" t="s">
        <v>427</v>
      </c>
      <c r="R188" s="343" t="s">
        <v>429</v>
      </c>
      <c r="S188" s="343" t="s">
        <v>430</v>
      </c>
      <c r="T188" s="349"/>
      <c r="U188" s="349"/>
    </row>
    <row r="189" spans="1:21" x14ac:dyDescent="0.5">
      <c r="A189" s="528">
        <v>11</v>
      </c>
      <c r="B189" s="212" t="s">
        <v>457</v>
      </c>
      <c r="C189" s="343">
        <v>0.2</v>
      </c>
      <c r="D189" s="343">
        <v>0.2</v>
      </c>
      <c r="E189" s="343">
        <v>0.2</v>
      </c>
      <c r="F189" s="343">
        <v>0.25</v>
      </c>
      <c r="G189" s="343">
        <v>0.25</v>
      </c>
      <c r="H189" s="343">
        <v>0.25</v>
      </c>
      <c r="I189" s="346"/>
      <c r="J189" s="346"/>
      <c r="K189" s="2"/>
      <c r="L189" s="528">
        <v>12</v>
      </c>
      <c r="M189" s="212" t="s">
        <v>457</v>
      </c>
      <c r="N189" s="343">
        <v>0.2</v>
      </c>
      <c r="O189" s="343">
        <v>0.2</v>
      </c>
      <c r="P189" s="343">
        <v>0.2</v>
      </c>
      <c r="Q189" s="343">
        <v>0.25</v>
      </c>
      <c r="R189" s="343">
        <v>0.25</v>
      </c>
      <c r="S189" s="343">
        <v>0.25</v>
      </c>
      <c r="T189" s="346"/>
      <c r="U189" s="346"/>
    </row>
    <row r="190" spans="1:21" x14ac:dyDescent="0.5">
      <c r="A190" s="552"/>
      <c r="B190" s="212" t="s">
        <v>458</v>
      </c>
      <c r="C190" s="343">
        <v>0.3</v>
      </c>
      <c r="D190" s="343">
        <v>0.35</v>
      </c>
      <c r="E190" s="343">
        <v>0.4</v>
      </c>
      <c r="F190" s="343">
        <v>0.4</v>
      </c>
      <c r="G190" s="343">
        <v>0.45</v>
      </c>
      <c r="H190" s="343">
        <v>0.5</v>
      </c>
      <c r="I190" s="346"/>
      <c r="J190" s="346"/>
      <c r="K190" s="2"/>
      <c r="L190" s="552"/>
      <c r="M190" s="212" t="s">
        <v>458</v>
      </c>
      <c r="N190" s="343">
        <v>0.3</v>
      </c>
      <c r="O190" s="343">
        <v>0.35</v>
      </c>
      <c r="P190" s="343">
        <v>0.4</v>
      </c>
      <c r="Q190" s="343">
        <v>0.4</v>
      </c>
      <c r="R190" s="343">
        <v>0.45</v>
      </c>
      <c r="S190" s="343">
        <v>0.5</v>
      </c>
      <c r="T190" s="346"/>
      <c r="U190" s="346"/>
    </row>
    <row r="191" spans="1:21" x14ac:dyDescent="0.5">
      <c r="A191" s="529"/>
      <c r="B191" s="212" t="s">
        <v>459</v>
      </c>
      <c r="C191" s="343">
        <v>3</v>
      </c>
      <c r="D191" s="343">
        <v>3</v>
      </c>
      <c r="E191" s="343">
        <v>3</v>
      </c>
      <c r="F191" s="343">
        <v>3</v>
      </c>
      <c r="G191" s="343">
        <v>3</v>
      </c>
      <c r="H191" s="343">
        <v>3</v>
      </c>
      <c r="I191" s="347">
        <f>+SUM(C191:H191)</f>
        <v>18</v>
      </c>
      <c r="J191" s="346" t="s">
        <v>16</v>
      </c>
      <c r="K191" s="2"/>
      <c r="L191" s="529"/>
      <c r="M191" s="212" t="s">
        <v>459</v>
      </c>
      <c r="N191" s="343">
        <v>3</v>
      </c>
      <c r="O191" s="343">
        <v>3</v>
      </c>
      <c r="P191" s="343">
        <v>3</v>
      </c>
      <c r="Q191" s="343">
        <v>3</v>
      </c>
      <c r="R191" s="343">
        <v>3</v>
      </c>
      <c r="S191" s="343">
        <v>3</v>
      </c>
      <c r="T191" s="347">
        <f>+SUM(N191:S191)</f>
        <v>18</v>
      </c>
      <c r="U191" s="346" t="s">
        <v>16</v>
      </c>
    </row>
    <row r="192" spans="1:21" x14ac:dyDescent="0.5">
      <c r="A192" s="215" t="s">
        <v>83</v>
      </c>
      <c r="B192" s="212" t="s">
        <v>431</v>
      </c>
      <c r="C192" s="213">
        <f t="shared" ref="C192:H192" si="158">+C189*C190*C191*2400</f>
        <v>432</v>
      </c>
      <c r="D192" s="213">
        <f t="shared" si="158"/>
        <v>503.99999999999989</v>
      </c>
      <c r="E192" s="213">
        <f t="shared" si="158"/>
        <v>576.00000000000011</v>
      </c>
      <c r="F192" s="213">
        <f t="shared" si="158"/>
        <v>720.00000000000011</v>
      </c>
      <c r="G192" s="213">
        <f t="shared" si="158"/>
        <v>810</v>
      </c>
      <c r="H192" s="213">
        <f t="shared" si="158"/>
        <v>900</v>
      </c>
      <c r="I192" s="348">
        <f>+SUM(C192:H192)</f>
        <v>3942</v>
      </c>
      <c r="J192" s="237" t="s">
        <v>441</v>
      </c>
      <c r="K192" s="2"/>
      <c r="L192" s="215" t="s">
        <v>83</v>
      </c>
      <c r="M192" s="212" t="s">
        <v>431</v>
      </c>
      <c r="N192" s="213">
        <f t="shared" ref="N192:S192" si="159">+N189*N190*N191*2400</f>
        <v>432</v>
      </c>
      <c r="O192" s="213">
        <f t="shared" si="159"/>
        <v>503.99999999999989</v>
      </c>
      <c r="P192" s="213">
        <f t="shared" si="159"/>
        <v>576.00000000000011</v>
      </c>
      <c r="Q192" s="213">
        <f t="shared" si="159"/>
        <v>720.00000000000011</v>
      </c>
      <c r="R192" s="213">
        <f t="shared" si="159"/>
        <v>810</v>
      </c>
      <c r="S192" s="213">
        <f t="shared" si="159"/>
        <v>900</v>
      </c>
      <c r="T192" s="348">
        <f>+SUM(N192:S192)</f>
        <v>3942</v>
      </c>
      <c r="U192" s="237" t="s">
        <v>441</v>
      </c>
    </row>
    <row r="193" spans="1:21" x14ac:dyDescent="0.5">
      <c r="A193" s="351"/>
      <c r="B193" s="352"/>
      <c r="C193" s="352"/>
      <c r="D193" s="352"/>
      <c r="E193" s="352"/>
      <c r="F193" s="352"/>
      <c r="G193" s="352"/>
      <c r="H193" s="352"/>
      <c r="I193" s="353">
        <f>+(I192+I187+I182+I177+I172+I167)/1000</f>
        <v>151.548</v>
      </c>
      <c r="J193" s="354" t="s">
        <v>468</v>
      </c>
      <c r="K193" s="2"/>
      <c r="L193" s="351"/>
      <c r="M193" s="352"/>
      <c r="N193" s="352"/>
      <c r="O193" s="352"/>
      <c r="P193" s="352"/>
      <c r="Q193" s="352"/>
      <c r="R193" s="352"/>
      <c r="S193" s="352"/>
      <c r="T193" s="353">
        <f>+(T192+T187+T182+T177+T172+T167)/1000</f>
        <v>151.548</v>
      </c>
      <c r="U193" s="354" t="s">
        <v>468</v>
      </c>
    </row>
  </sheetData>
  <mergeCells count="73">
    <mergeCell ref="A189:A191"/>
    <mergeCell ref="L189:L191"/>
    <mergeCell ref="A164:A166"/>
    <mergeCell ref="L164:L166"/>
    <mergeCell ref="A169:A171"/>
    <mergeCell ref="L169:L171"/>
    <mergeCell ref="A174:A175"/>
    <mergeCell ref="L174:L175"/>
    <mergeCell ref="L176:L178"/>
    <mergeCell ref="A179:A181"/>
    <mergeCell ref="L179:L181"/>
    <mergeCell ref="A184:A186"/>
    <mergeCell ref="L184:L186"/>
    <mergeCell ref="A147:A149"/>
    <mergeCell ref="L147:L149"/>
    <mergeCell ref="A152:A154"/>
    <mergeCell ref="L152:L154"/>
    <mergeCell ref="A157:A159"/>
    <mergeCell ref="L157:L159"/>
    <mergeCell ref="A132:A134"/>
    <mergeCell ref="L132:L134"/>
    <mergeCell ref="A137:A139"/>
    <mergeCell ref="L137:L139"/>
    <mergeCell ref="A142:A143"/>
    <mergeCell ref="L142:L143"/>
    <mergeCell ref="A115:A117"/>
    <mergeCell ref="L115:L117"/>
    <mergeCell ref="A120:A122"/>
    <mergeCell ref="L120:L122"/>
    <mergeCell ref="A125:A127"/>
    <mergeCell ref="L125:L127"/>
    <mergeCell ref="A100:A102"/>
    <mergeCell ref="L100:L102"/>
    <mergeCell ref="A105:A107"/>
    <mergeCell ref="L105:L107"/>
    <mergeCell ref="A110:A111"/>
    <mergeCell ref="L110:L111"/>
    <mergeCell ref="A83:A85"/>
    <mergeCell ref="L83:L85"/>
    <mergeCell ref="A88:A90"/>
    <mergeCell ref="L88:L90"/>
    <mergeCell ref="A93:A95"/>
    <mergeCell ref="L93:L95"/>
    <mergeCell ref="A68:A70"/>
    <mergeCell ref="L68:L70"/>
    <mergeCell ref="A73:A75"/>
    <mergeCell ref="L73:L75"/>
    <mergeCell ref="A78:A79"/>
    <mergeCell ref="L78:L79"/>
    <mergeCell ref="A51:A53"/>
    <mergeCell ref="L51:L53"/>
    <mergeCell ref="A56:A58"/>
    <mergeCell ref="L56:L58"/>
    <mergeCell ref="A61:A63"/>
    <mergeCell ref="L61:L63"/>
    <mergeCell ref="A36:A38"/>
    <mergeCell ref="L36:L38"/>
    <mergeCell ref="A41:A43"/>
    <mergeCell ref="L41:L43"/>
    <mergeCell ref="A46:A47"/>
    <mergeCell ref="L46:L47"/>
    <mergeCell ref="A29:A31"/>
    <mergeCell ref="L4:L6"/>
    <mergeCell ref="L9:L11"/>
    <mergeCell ref="L14:L15"/>
    <mergeCell ref="L19:L21"/>
    <mergeCell ref="L24:L26"/>
    <mergeCell ref="L29:L31"/>
    <mergeCell ref="A4:A6"/>
    <mergeCell ref="A9:A11"/>
    <mergeCell ref="A14:A15"/>
    <mergeCell ref="A19:A21"/>
    <mergeCell ref="A24:A26"/>
  </mergeCells>
  <pageMargins left="0.7" right="0.7" top="0.75" bottom="0.75" header="0.3" footer="0.3"/>
  <pageSetup paperSize="9" scale="43" orientation="portrait" horizontalDpi="300" verticalDpi="0" r:id="rId1"/>
  <rowBreaks count="2" manualBreakCount="2">
    <brk id="65" max="16383" man="1"/>
    <brk id="129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4</vt:i4>
      </vt:variant>
    </vt:vector>
  </HeadingPairs>
  <TitlesOfParts>
    <vt:vector size="9" baseType="lpstr">
      <vt:lpstr>วิธีใช้งาน</vt:lpstr>
      <vt:lpstr>มยผ.1302,กทม,ปริมณทล</vt:lpstr>
      <vt:lpstr>มยผ.1301-55</vt:lpstr>
      <vt:lpstr>มยผ.1302,ต่างจังหวัด</vt:lpstr>
      <vt:lpstr>Sheet1</vt:lpstr>
      <vt:lpstr>Sheet1!Print_Area</vt:lpstr>
      <vt:lpstr>'มยผ.1301-55'!Print_Area</vt:lpstr>
      <vt:lpstr>'มยผ.1302,กทม,ปริมณทล'!Print_Area</vt:lpstr>
      <vt:lpstr>'มยผ.1302,ต่างจังหวัด'!Print_Area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rapin</dc:creator>
  <cp:lastModifiedBy>rapin</cp:lastModifiedBy>
  <cp:lastPrinted>2013-09-13T16:49:51Z</cp:lastPrinted>
  <dcterms:created xsi:type="dcterms:W3CDTF">2013-09-13T04:12:11Z</dcterms:created>
  <dcterms:modified xsi:type="dcterms:W3CDTF">2013-09-25T08:31:11Z</dcterms:modified>
</cp:coreProperties>
</file>