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25" yWindow="765" windowWidth="5535" windowHeight="5325" tabRatio="819" activeTab="0"/>
  </bookViews>
  <sheets>
    <sheet name=" Base Plate Very Eccentrici " sheetId="1" r:id="rId1"/>
  </sheets>
  <definedNames>
    <definedName name="_xlfn.AGGREGATE" hidden="1">#NAME?</definedName>
    <definedName name="B">#REF!</definedName>
    <definedName name="CAP">#REF!</definedName>
    <definedName name="D">#REF!</definedName>
    <definedName name="DIA">#REF!</definedName>
    <definedName name="DREQ">#N/A</definedName>
    <definedName name="DROP">#REF!</definedName>
    <definedName name="EC">#N/A</definedName>
    <definedName name="F_C">#REF!</definedName>
    <definedName name="_xlnm.Print_Area" localSheetId="0">' Base Plate Very Eccentrici '!$A$1:$S$97</definedName>
    <definedName name="Print_Area_MI">#REF!</definedName>
    <definedName name="_xlnm.Print_Titles" localSheetId="0">' Base Plate Very Eccentrici '!$1:$5</definedName>
    <definedName name="T">#REF!</definedName>
  </definedNames>
  <calcPr fullCalcOnLoad="1"/>
</workbook>
</file>

<file path=xl/comments1.xml><?xml version="1.0" encoding="utf-8"?>
<comments xmlns="http://schemas.openxmlformats.org/spreadsheetml/2006/main">
  <authors>
    <author>HP</author>
  </authors>
  <commentList>
    <comment ref="L19" authorId="0">
      <text>
        <r>
          <rPr>
            <sz val="9"/>
            <rFont val="Tahoma"/>
            <family val="2"/>
          </rPr>
          <t xml:space="preserve">ระยะขอบจาก </t>
        </r>
        <r>
          <rPr>
            <b/>
            <sz val="9"/>
            <rFont val="Tahoma"/>
            <family val="2"/>
          </rPr>
          <t>ปีกเสา to ขอบแผ่นเหล็ก</t>
        </r>
        <r>
          <rPr>
            <sz val="9"/>
            <rFont val="Tahoma"/>
            <family val="2"/>
          </rPr>
          <t xml:space="preserve"> เป็นค่าสมมติขึ้น (Try)
</t>
        </r>
      </text>
    </comment>
    <comment ref="Q27" authorId="0">
      <text>
        <r>
          <rPr>
            <sz val="9"/>
            <rFont val="Tahoma"/>
            <family val="2"/>
          </rPr>
          <t>Select Allowable Bearing Stress
****ถ้าเข้ากรณีที่ 4 ให้ไปใส่ค่าขนาด Support (ด้านขวา)</t>
        </r>
      </text>
    </comment>
    <comment ref="I29" authorId="0">
      <text>
        <r>
          <rPr>
            <b/>
            <sz val="9"/>
            <rFont val="Tahoma"/>
            <family val="2"/>
          </rPr>
          <t xml:space="preserve">ระยะ Bolt ถึงขอบPlate
</t>
        </r>
      </text>
    </comment>
    <comment ref="V30" authorId="0">
      <text>
        <r>
          <rPr>
            <sz val="9"/>
            <rFont val="Tahoma"/>
            <family val="2"/>
          </rPr>
          <t xml:space="preserve">A1 = พื้นที่ของแผ่นเหล็กรองเสาหรือคาน
A2 = พื้นที่ของตอม่อหรือฐานรองรับ </t>
        </r>
        <r>
          <rPr>
            <b/>
            <sz val="9"/>
            <rFont val="Tahoma"/>
            <family val="2"/>
          </rPr>
          <t>(ซึ่งมีรูปทรงเหมือนแผ่นเหล็ก อาจจะมีขนาดใหญ่กว่ามากก็ได้ )</t>
        </r>
        <r>
          <rPr>
            <sz val="9"/>
            <rFont val="Tahoma"/>
            <family val="2"/>
          </rPr>
          <t xml:space="preserve"> เป็นพื้นที่เต็มของฐานรองรับ โดยต้องมีศูนย์ตรงกับแผ่นเหล็ก
</t>
        </r>
      </text>
    </comment>
    <comment ref="AB31" authorId="0">
      <text>
        <r>
          <rPr>
            <sz val="9"/>
            <rFont val="Tahoma"/>
            <family val="2"/>
          </rPr>
          <t>A1 = พื้นที่ของแผ่นเหล็กรองเสาหรือคาน</t>
        </r>
      </text>
    </comment>
    <comment ref="I32" authorId="0">
      <text>
        <r>
          <rPr>
            <b/>
            <sz val="9"/>
            <rFont val="Tahoma"/>
            <family val="2"/>
          </rPr>
          <t xml:space="preserve">ระยะ Bolt ถึง Center Plate
</t>
        </r>
      </text>
    </comment>
    <comment ref="AB32" authorId="0">
      <text>
        <r>
          <rPr>
            <sz val="9"/>
            <rFont val="Tahoma"/>
            <family val="2"/>
          </rPr>
          <t xml:space="preserve">A2 = พื้นที่ของตอม่อหรือฐานรองรับ (ซึ่งมีรูปทรงเหมือนแผ่นเหล็ก อาจจะมีขนาดใหญ่กว่ามากก็ได้ ) เป็นพื้นที่เต็มของฐานรองรับ โดยต้องมีศูนย์ตรงกับแผ่นเหล็ก
</t>
        </r>
      </text>
    </comment>
    <comment ref="Q43" authorId="0">
      <text>
        <r>
          <rPr>
            <sz val="9"/>
            <rFont val="Tahoma"/>
            <family val="2"/>
          </rPr>
          <t>เลือกจากด้านที่เกิดโมเมนต์ (ทิศทางเดียวกับโมเมนต์) ในตัวอย่างที่วาดรูปในทีนี้คือ m</t>
        </r>
      </text>
    </comment>
    <comment ref="I54" authorId="0">
      <text>
        <r>
          <rPr>
            <sz val="9"/>
            <rFont val="Tahoma"/>
            <family val="2"/>
          </rPr>
          <t>m or n ก็ได้อยุ่กับตำแหน่งที่พิจารณา โดยดูที่ทิศทางของโมเมนต์ที่เกืดขึ้นกับ Column (ทิศทางเดียวกับโมเมนต์)</t>
        </r>
      </text>
    </comment>
    <comment ref="AL55" authorId="0">
      <text>
        <r>
          <rPr>
            <sz val="9"/>
            <rFont val="Tahoma"/>
            <family val="2"/>
          </rPr>
          <t xml:space="preserve">เทียบเป็นเกรด : เหมาะกับเหล็ก Fy = 2500 ksc
</t>
        </r>
      </text>
    </comment>
    <comment ref="AL56" authorId="0">
      <text>
        <r>
          <rPr>
            <sz val="9"/>
            <rFont val="Tahoma"/>
            <family val="2"/>
          </rPr>
          <t xml:space="preserve">เทียบเป็นเกรด : เหมาะกับเหล็ก Fy = 2500-4200 ksc
</t>
        </r>
      </text>
    </comment>
    <comment ref="AL57" authorId="0">
      <text>
        <r>
          <rPr>
            <sz val="9"/>
            <rFont val="Tahoma"/>
            <family val="2"/>
          </rPr>
          <t>เทียบเป็นเกรด : เหมาะกับเหล็ก Fy = 4500 ksc</t>
        </r>
      </text>
    </comment>
    <comment ref="Q59" authorId="0">
      <text>
        <r>
          <rPr>
            <sz val="9"/>
            <rFont val="Tahoma"/>
            <family val="2"/>
          </rPr>
          <t xml:space="preserve">ความยาวรอบปีกเสา WF  ในด้านเดียว 
</t>
        </r>
      </text>
    </comment>
    <comment ref="Q63" authorId="0">
      <text>
        <r>
          <rPr>
            <b/>
            <sz val="9"/>
            <rFont val="Tahoma"/>
            <family val="2"/>
          </rPr>
          <t>ขนาดรอยเชื่อมที่ต้องการ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<sst xmlns="http://schemas.openxmlformats.org/spreadsheetml/2006/main" count="352" uniqueCount="209">
  <si>
    <t>:</t>
  </si>
  <si>
    <t>ksc</t>
  </si>
  <si>
    <t>kg/m</t>
  </si>
  <si>
    <t>m</t>
  </si>
  <si>
    <t>kg-m</t>
  </si>
  <si>
    <t>kg</t>
  </si>
  <si>
    <t>Building:</t>
  </si>
  <si>
    <t>A.</t>
  </si>
  <si>
    <t>Material Properties</t>
  </si>
  <si>
    <t>B.</t>
  </si>
  <si>
    <t>C.</t>
  </si>
  <si>
    <t>D.</t>
  </si>
  <si>
    <t>Modulus of Elasticity, Es</t>
  </si>
  <si>
    <t>Tensile Strength, Fu</t>
  </si>
  <si>
    <t>W</t>
  </si>
  <si>
    <t>cm</t>
  </si>
  <si>
    <t>mm</t>
  </si>
  <si>
    <t>Structural Design</t>
  </si>
  <si>
    <t>Location :</t>
  </si>
  <si>
    <t xml:space="preserve">Try Steel </t>
  </si>
  <si>
    <t>N</t>
  </si>
  <si>
    <t>B</t>
  </si>
  <si>
    <t>n</t>
  </si>
  <si>
    <t>A1</t>
  </si>
  <si>
    <t>x</t>
  </si>
  <si>
    <t>kg-cm</t>
  </si>
  <si>
    <t>WF 150*75*5*7</t>
  </si>
  <si>
    <t>As</t>
  </si>
  <si>
    <t>Ix</t>
  </si>
  <si>
    <t>rx</t>
  </si>
  <si>
    <t>zx</t>
  </si>
  <si>
    <t>h</t>
  </si>
  <si>
    <t>d</t>
  </si>
  <si>
    <t>tf</t>
  </si>
  <si>
    <t>tw</t>
  </si>
  <si>
    <r>
      <t>cm</t>
    </r>
    <r>
      <rPr>
        <vertAlign val="superscript"/>
        <sz val="14"/>
        <rFont val="Cordia New"/>
        <family val="2"/>
      </rPr>
      <t>2</t>
    </r>
  </si>
  <si>
    <r>
      <t>cm</t>
    </r>
    <r>
      <rPr>
        <vertAlign val="superscript"/>
        <sz val="14"/>
        <rFont val="Cordia New"/>
        <family val="2"/>
      </rPr>
      <t>4</t>
    </r>
  </si>
  <si>
    <r>
      <t>cm</t>
    </r>
    <r>
      <rPr>
        <vertAlign val="superscript"/>
        <sz val="14"/>
        <rFont val="Cordia New"/>
        <family val="2"/>
      </rPr>
      <t>3</t>
    </r>
  </si>
  <si>
    <t>WF 200*100*5.5*8</t>
  </si>
  <si>
    <t>WF 200*200*8*12</t>
  </si>
  <si>
    <t>WF 250*125*6*9</t>
  </si>
  <si>
    <t>WF 250*250*9*14</t>
  </si>
  <si>
    <t>WF 300*150*6.5*9</t>
  </si>
  <si>
    <t>WF 350*175*7*11</t>
  </si>
  <si>
    <t>WF 400*200*8*13</t>
  </si>
  <si>
    <t>WF 350*350*12*19</t>
  </si>
  <si>
    <t>WF 400*300*10*16</t>
  </si>
  <si>
    <t>WF 400*400*13*21</t>
  </si>
  <si>
    <t>WF 450*200*9*14</t>
  </si>
  <si>
    <t>WF 500*200*10*16</t>
  </si>
  <si>
    <t>WF 600*200*11*17</t>
  </si>
  <si>
    <t>WF 700*300*13*24</t>
  </si>
  <si>
    <t>WF 800*300*14*26</t>
  </si>
  <si>
    <t>WF 900*300*16*28</t>
  </si>
  <si>
    <t>ry</t>
  </si>
  <si>
    <t>Iy</t>
  </si>
  <si>
    <t>WF 300*300*10*15</t>
  </si>
  <si>
    <t>WF 150*150*7*10</t>
  </si>
  <si>
    <t>WF 100*50*5*7</t>
  </si>
  <si>
    <t>WF 125*60*6*8</t>
  </si>
  <si>
    <t>WF 150*100*6*9</t>
  </si>
  <si>
    <t>WF 200*150*6*9</t>
  </si>
  <si>
    <t>WF 250*175*7*11</t>
  </si>
  <si>
    <t>WF 300*200*8*12</t>
  </si>
  <si>
    <t>WF 450*300*11*18</t>
  </si>
  <si>
    <t>WF 500*300*11*18</t>
  </si>
  <si>
    <t>WF 600*300*12*20</t>
  </si>
  <si>
    <t>WF 600*300*14*23</t>
  </si>
  <si>
    <t>zy</t>
  </si>
  <si>
    <t>r,corn</t>
  </si>
  <si>
    <t>WF 100*100*6*8</t>
  </si>
  <si>
    <t>WF 125*125*6.5*9</t>
  </si>
  <si>
    <t>WF 175*175*7.5*11</t>
  </si>
  <si>
    <t>Date :</t>
  </si>
  <si>
    <t>By :</t>
  </si>
  <si>
    <t>Project :</t>
  </si>
  <si>
    <t>WIDE FLANGE</t>
  </si>
  <si>
    <t>Col. No. :</t>
  </si>
  <si>
    <t>P</t>
  </si>
  <si>
    <t>WF 300*150*5.5*8</t>
  </si>
  <si>
    <t>M</t>
  </si>
  <si>
    <t>cm.</t>
  </si>
  <si>
    <t>Fp</t>
  </si>
  <si>
    <t>bf</t>
  </si>
  <si>
    <t>Ultimate Compressive Strength, fc' (0.15x0.30 m ,Cylinder)</t>
  </si>
  <si>
    <t>N'</t>
  </si>
  <si>
    <t>Sx</t>
  </si>
  <si>
    <t>Sy</t>
  </si>
  <si>
    <t xml:space="preserve"> </t>
  </si>
  <si>
    <t>วสท. (Allowable Bearing Strees ; Fp)</t>
  </si>
  <si>
    <t>บนหินทรายและหินปูน</t>
  </si>
  <si>
    <t>บนอิฐก่อในซีเมนต์มอต้าร์</t>
  </si>
  <si>
    <t>พื้นที่เต็มของฐานรองรับคอนกรีต</t>
  </si>
  <si>
    <t>0.35fc'</t>
  </si>
  <si>
    <t>พื้นที่ไม่เต็มของฐานรองรับคอนกรีต</t>
  </si>
  <si>
    <t>cm2</t>
  </si>
  <si>
    <t>A2</t>
  </si>
  <si>
    <t>Select Support Bearing Plate</t>
  </si>
  <si>
    <t>B =</t>
  </si>
  <si>
    <t>หน่วยแรงที่ยอมให้ของรอยเชื่อม</t>
  </si>
  <si>
    <t>E60</t>
  </si>
  <si>
    <t>E70</t>
  </si>
  <si>
    <t>E80</t>
  </si>
  <si>
    <t>กำลังรอยเชื่อม</t>
  </si>
  <si>
    <t>= (0.707 * a * L * Fv)</t>
  </si>
  <si>
    <t>USE</t>
  </si>
  <si>
    <t>Welding Type E60 ; E70 ; E80</t>
  </si>
  <si>
    <t>หน่วยแรงเฉือนบนพื้นที่ประสิทธิผล</t>
  </si>
  <si>
    <t>A7,A36,A500</t>
  </si>
  <si>
    <t>A36,A572 Grade 50</t>
  </si>
  <si>
    <t>A572 Grade 60 , A572 Grade 65</t>
  </si>
  <si>
    <t>Leg size (3-8 mm.)</t>
  </si>
  <si>
    <t>เกรดเหล็กที่เหมาะสม</t>
  </si>
  <si>
    <r>
      <t xml:space="preserve">ขนาดของรอยเชื่อม </t>
    </r>
    <r>
      <rPr>
        <b/>
        <sz val="12"/>
        <color indexed="10"/>
        <rFont val="AngsanaUPC"/>
        <family val="1"/>
      </rPr>
      <t>แบบพอก</t>
    </r>
  </si>
  <si>
    <t>ความหนาของแผ่นเหล็ก ที่หนากว่า (mm)</t>
  </si>
  <si>
    <t>T &lt;= 6</t>
  </si>
  <si>
    <t>6 &lt; T &lt;= 12</t>
  </si>
  <si>
    <t>12 &lt; T &lt;= 19</t>
  </si>
  <si>
    <t>19 &lt; T &lt;= 38</t>
  </si>
  <si>
    <t>38 &lt; T &lt;= 56</t>
  </si>
  <si>
    <t>56 &lt; T &lt;= 150</t>
  </si>
  <si>
    <t>T&gt;150</t>
  </si>
  <si>
    <t>ขนาดต่ำสุดของรอยเชื่อม แบบพอก(mm)</t>
  </si>
  <si>
    <t>a</t>
  </si>
  <si>
    <t>Fv</t>
  </si>
  <si>
    <t>Stress of welding</t>
  </si>
  <si>
    <t>กำลังรับแรงดึงระบุของโลหะเชื่อมหรือลวดเชือม      =</t>
  </si>
  <si>
    <t>T</t>
  </si>
  <si>
    <t>Allowable Bearing Strees ; Fp</t>
  </si>
  <si>
    <t>&lt;=0.7fc'</t>
  </si>
  <si>
    <r>
      <t>cm</t>
    </r>
    <r>
      <rPr>
        <vertAlign val="superscript"/>
        <sz val="14"/>
        <rFont val="AngsanaUPC"/>
        <family val="1"/>
      </rPr>
      <t>2</t>
    </r>
  </si>
  <si>
    <r>
      <t>cm</t>
    </r>
    <r>
      <rPr>
        <vertAlign val="superscript"/>
        <sz val="14"/>
        <rFont val="AngsanaUPC"/>
        <family val="1"/>
      </rPr>
      <t>4</t>
    </r>
  </si>
  <si>
    <r>
      <t>cm</t>
    </r>
    <r>
      <rPr>
        <vertAlign val="superscript"/>
        <sz val="14"/>
        <rFont val="AngsanaUPC"/>
        <family val="1"/>
      </rPr>
      <t>3</t>
    </r>
  </si>
  <si>
    <t>Size Support  (cm)</t>
  </si>
  <si>
    <t>Load Design</t>
  </si>
  <si>
    <t>Point Load ( P )</t>
  </si>
  <si>
    <t>Moment  ( M )</t>
  </si>
  <si>
    <t>Check eccentricity</t>
  </si>
  <si>
    <t>(e )</t>
  </si>
  <si>
    <t>Length end Plate ( flank column to End Plate )</t>
  </si>
  <si>
    <t>M/P</t>
  </si>
  <si>
    <t xml:space="preserve">มาตราฐาน วสท. 1007-34 กำหนด ค่าหน่วยแรงที่ยอมให้ของคอนกรีตไว้ดังนี้ </t>
  </si>
  <si>
    <t xml:space="preserve">****เมื่อรับแรงกด </t>
  </si>
  <si>
    <t>รับเต็มพื้นที่ ( fc) =0.25fc'</t>
  </si>
  <si>
    <t>รับไม่เกินกว่า 1 /3 ของเนื้อที่ (fc)</t>
  </si>
  <si>
    <t>= 0.37fc'</t>
  </si>
  <si>
    <t>&gt;&lt;"</t>
  </si>
  <si>
    <t>Welding Design</t>
  </si>
  <si>
    <t xml:space="preserve">Concept for shape WF Only </t>
  </si>
  <si>
    <t>หลักการหาความหนาแผ่นเหล็ก คิดส่วนที่ห่าง</t>
  </si>
  <si>
    <t>ออกจากเสาเหล็ก เป็นเหมือน พื้นยื่นหรือ คานยื่น</t>
  </si>
  <si>
    <t>[สูตรระยะ m และ n เป็นสูตรเฉพาะเหล็ก WF เท่านั้น]</t>
  </si>
  <si>
    <t>Concept Welding Design</t>
  </si>
  <si>
    <t xml:space="preserve">หลักการคิด คือ พิจารณาโมเมนต์ที่เกิดขึ้น แล้วแปลงเป็นโมเมนต์คู่ควบ เพื่อที่จะได้แรงดึงที่เกิดขึ้น </t>
  </si>
  <si>
    <t>แขนโมเมนต์</t>
  </si>
  <si>
    <t>Length Welding Design (Around flange)</t>
  </si>
  <si>
    <t>บริเวณที่ทำการพิจารณา คือ ปีกของเสา  ดังนั้น แรงดึงที่เกิดจะอยู่บริเวณ ปีก จึงทำการออกแบบ รอยเชื่อมที่ปีกของเสา (ปีกด้านเดียว)</t>
  </si>
  <si>
    <t>Tensile at Flange</t>
  </si>
  <si>
    <t>[ถ้าระยะรอยเชื่อมบริเวณปีกเสาไม่เพียงพอ ต้องเพิ่มขนาดเชื่อมเท่านั้น เพราะแรงที่เกิดขึ้นอยู่บริเวณปีกเสา)</t>
  </si>
  <si>
    <t>รอยเชื่อมทีปีกเสา</t>
  </si>
  <si>
    <t>ANALYSIS AND DESIGN OF STEEL STRUCTURE, BASE PLATE VERY ECCENTRICITY (ASD)</t>
  </si>
  <si>
    <t>1/6 &lt; e/N &lt; 1/2</t>
  </si>
  <si>
    <t>****ถ้าไม่ใช้ Very Eccentricity ต้องเปลียน Sheet คำนวณ</t>
  </si>
  <si>
    <t>n , m</t>
  </si>
  <si>
    <t xml:space="preserve">Length of Bolt to End Plate </t>
  </si>
  <si>
    <t xml:space="preserve">N' = </t>
  </si>
  <si>
    <t>Fp =</t>
  </si>
  <si>
    <t>Length of Bolt to Center Column</t>
  </si>
  <si>
    <t>Nt</t>
  </si>
  <si>
    <t>Nt =</t>
  </si>
  <si>
    <t>Np</t>
  </si>
  <si>
    <t>f'</t>
  </si>
  <si>
    <t xml:space="preserve">Np = </t>
  </si>
  <si>
    <t>Consider tension of Bolt</t>
  </si>
  <si>
    <t>kg/side</t>
  </si>
  <si>
    <t>So</t>
  </si>
  <si>
    <t>Trod</t>
  </si>
  <si>
    <t>kg/bolt</t>
  </si>
  <si>
    <t xml:space="preserve">Consider Plate </t>
  </si>
  <si>
    <t>Cantilever of plate</t>
  </si>
  <si>
    <t>m = (N-0.95d)/2</t>
  </si>
  <si>
    <t>n = (B-0.8bf)/2</t>
  </si>
  <si>
    <t xml:space="preserve">So Use </t>
  </si>
  <si>
    <t>Tenet Similar Triangles</t>
  </si>
  <si>
    <t>Moment of Plate</t>
  </si>
  <si>
    <t>Thickness of Plate</t>
  </si>
  <si>
    <t>(m or n )</t>
  </si>
  <si>
    <t>Use Thickness of Plate</t>
  </si>
  <si>
    <t xml:space="preserve">Use Leg Size </t>
  </si>
  <si>
    <t>1/2</t>
  </si>
  <si>
    <t>MR. KITTIKUN PHONSUWAN</t>
  </si>
  <si>
    <t xml:space="preserve">3 AUGUST 2014 </t>
  </si>
  <si>
    <t>Recommend n,m about 8-10cm (ไม่ควรน้อยกว่า 8 cm )</t>
  </si>
  <si>
    <t>Length  of  Plate N</t>
  </si>
  <si>
    <t>Length  of  Plate B</t>
  </si>
  <si>
    <t xml:space="preserve">Use Size Base Plate </t>
  </si>
  <si>
    <t>Concept Very Eccentricity</t>
  </si>
  <si>
    <t>1/6</t>
  </si>
  <si>
    <t>e/N</t>
  </si>
  <si>
    <t>N =</t>
  </si>
  <si>
    <t>Asume Size Base Plate ( N x B)</t>
  </si>
  <si>
    <t xml:space="preserve">Assume </t>
  </si>
  <si>
    <t>m =</t>
  </si>
  <si>
    <t>^^</t>
  </si>
  <si>
    <t>Yield Strength, Fy</t>
  </si>
  <si>
    <t>Summary</t>
  </si>
  <si>
    <t>E.</t>
  </si>
  <si>
    <t xml:space="preserve">Use Steel Plate Size </t>
  </si>
  <si>
    <t>Length Welding Around flange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</si>
</sst>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_);\(&quot;฿&quot;#,##0\)"/>
    <numFmt numFmtId="165" formatCode="&quot;฿&quot;#,##0_);[Red]\(&quot;฿&quot;#,##0\)"/>
    <numFmt numFmtId="166" formatCode="&quot;฿&quot;#,##0.00_);\(&quot;฿&quot;#,##0.00\)"/>
    <numFmt numFmtId="167" formatCode="&quot;฿&quot;#,##0.00_);[Red]\(&quot;฿&quot;#,##0.00\)"/>
    <numFmt numFmtId="168" formatCode="_(&quot;฿&quot;* #,##0_);_(&quot;฿&quot;* \(#,##0\);_(&quot;฿&quot;* &quot;-&quot;_);_(@_)"/>
    <numFmt numFmtId="169" formatCode="_(&quot;฿&quot;* #,##0.00_);_(&quot;฿&quot;* \(#,##0.00\);_(&quot;฿&quot;* &quot;-&quot;??_);_(@_)"/>
    <numFmt numFmtId="170" formatCode="0.0000"/>
    <numFmt numFmtId="171" formatCode="0.000"/>
    <numFmt numFmtId="172" formatCode="0.0"/>
    <numFmt numFmtId="173" formatCode="#,##0_ ;\-#,##0\ "/>
    <numFmt numFmtId="174" formatCode="#,##0.0_ ;\-#,##0.0\ "/>
    <numFmt numFmtId="175" formatCode="0.000000"/>
    <numFmt numFmtId="176" formatCode="0E+00"/>
    <numFmt numFmtId="177" formatCode="0.000000000000000"/>
    <numFmt numFmtId="178" formatCode="_(* #,##0.0000_);_(* \(#,##0.0000\);_(* &quot;-&quot;??_);_(@_)"/>
    <numFmt numFmtId="179" formatCode="0.0000000000000000000000000000000000000000000000000000"/>
    <numFmt numFmtId="180" formatCode="_(* #,##0.000_);_(* \(#,##0.000\);_(* &quot;-&quot;??_);_(@_)"/>
    <numFmt numFmtId="181" formatCode="0.0000000"/>
    <numFmt numFmtId="182" formatCode="_(* #,##0.0_);_(* \(#,##0.0\);_(* &quot;-&quot;??_);_(@_)"/>
    <numFmt numFmtId="183" formatCode="_(* #,##0.000000000000_);_(* \(#,##0.000000000000\);_(* &quot;-&quot;??_);_(@_)"/>
    <numFmt numFmtId="184" formatCode="0.000000000_);[Red]\(0.000000000\)"/>
    <numFmt numFmtId="185" formatCode="0.00000"/>
  </numFmts>
  <fonts count="80">
    <font>
      <sz val="14"/>
      <name val="Cordia New"/>
      <family val="0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2"/>
      <name val="AngsanaUPC"/>
      <family val="1"/>
    </font>
    <font>
      <sz val="12"/>
      <color indexed="12"/>
      <name val="AngsanaUPC"/>
      <family val="1"/>
    </font>
    <font>
      <vertAlign val="superscript"/>
      <sz val="14"/>
      <name val="Cordia New"/>
      <family val="2"/>
    </font>
    <font>
      <sz val="14"/>
      <color indexed="12"/>
      <name val="Cordia New"/>
      <family val="2"/>
    </font>
    <font>
      <sz val="16"/>
      <name val="AngsanaUPC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AngsanaUPC"/>
      <family val="1"/>
    </font>
    <font>
      <b/>
      <sz val="10"/>
      <name val="AngsanaUPC"/>
      <family val="1"/>
    </font>
    <font>
      <b/>
      <sz val="12"/>
      <name val="AngsanaUPC"/>
      <family val="1"/>
    </font>
    <font>
      <sz val="11"/>
      <name val="AngsanaUPC"/>
      <family val="1"/>
    </font>
    <font>
      <sz val="10"/>
      <name val="AngsanaUPC"/>
      <family val="1"/>
    </font>
    <font>
      <sz val="14"/>
      <name val="AngsanaUPC"/>
      <family val="1"/>
    </font>
    <font>
      <b/>
      <sz val="12"/>
      <color indexed="10"/>
      <name val="AngsanaUPC"/>
      <family val="1"/>
    </font>
    <font>
      <b/>
      <sz val="12"/>
      <color indexed="16"/>
      <name val="AngsanaUPC"/>
      <family val="1"/>
    </font>
    <font>
      <b/>
      <u val="single"/>
      <sz val="12"/>
      <name val="AngsanaUPC"/>
      <family val="1"/>
    </font>
    <font>
      <u val="single"/>
      <sz val="12"/>
      <name val="AngsanaUPC"/>
      <family val="1"/>
    </font>
    <font>
      <b/>
      <i/>
      <sz val="14"/>
      <color indexed="16"/>
      <name val="AngsanaUPC"/>
      <family val="1"/>
    </font>
    <font>
      <b/>
      <i/>
      <sz val="12"/>
      <name val="AngsanaUPC"/>
      <family val="1"/>
    </font>
    <font>
      <b/>
      <i/>
      <sz val="12"/>
      <color indexed="12"/>
      <name val="AngsanaUPC"/>
      <family val="1"/>
    </font>
    <font>
      <b/>
      <i/>
      <u val="single"/>
      <sz val="14"/>
      <name val="AngsanaUPC"/>
      <family val="1"/>
    </font>
    <font>
      <b/>
      <u val="single"/>
      <sz val="14"/>
      <color indexed="16"/>
      <name val="AngsanaUPC"/>
      <family val="1"/>
    </font>
    <font>
      <b/>
      <sz val="14"/>
      <color indexed="16"/>
      <name val="AngsanaUPC"/>
      <family val="1"/>
    </font>
    <font>
      <vertAlign val="superscript"/>
      <sz val="14"/>
      <name val="AngsanaUPC"/>
      <family val="1"/>
    </font>
    <font>
      <sz val="14"/>
      <color indexed="12"/>
      <name val="AngsanaUPC"/>
      <family val="1"/>
    </font>
    <font>
      <sz val="12"/>
      <color indexed="17"/>
      <name val="AngsanaUPC"/>
      <family val="1"/>
    </font>
    <font>
      <b/>
      <sz val="14"/>
      <name val="AngsanaUPC"/>
      <family val="1"/>
    </font>
    <font>
      <sz val="9"/>
      <name val="AngsanaUPC"/>
      <family val="1"/>
    </font>
    <font>
      <sz val="8"/>
      <name val="AngsanaUP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6"/>
      <color indexed="8"/>
      <name val="AngsanaUPC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ngsanaUPC"/>
      <family val="1"/>
    </font>
    <font>
      <b/>
      <sz val="14"/>
      <color indexed="56"/>
      <name val="AngsanaUPC"/>
      <family val="1"/>
    </font>
    <font>
      <b/>
      <sz val="12"/>
      <color indexed="17"/>
      <name val="AngsanaUPC"/>
      <family val="1"/>
    </font>
    <font>
      <u val="single"/>
      <sz val="12"/>
      <color indexed="1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6"/>
      <color theme="1"/>
      <name val="AngsanaUPC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FF"/>
      <name val="AngsanaUPC"/>
      <family val="1"/>
    </font>
    <font>
      <sz val="12"/>
      <color rgb="FFFF0000"/>
      <name val="AngsanaUPC"/>
      <family val="1"/>
    </font>
    <font>
      <b/>
      <sz val="14"/>
      <color rgb="FF002060"/>
      <name val="AngsanaUPC"/>
      <family val="1"/>
    </font>
    <font>
      <b/>
      <sz val="12"/>
      <color rgb="FF00B050"/>
      <name val="AngsanaUPC"/>
      <family val="1"/>
    </font>
    <font>
      <u val="single"/>
      <sz val="12"/>
      <color rgb="FFFF0000"/>
      <name val="AngsanaUPC"/>
      <family val="1"/>
    </font>
    <font>
      <b/>
      <sz val="12"/>
      <color rgb="FFFF0000"/>
      <name val="AngsanaUPC"/>
      <family val="1"/>
    </font>
    <font>
      <b/>
      <sz val="12"/>
      <color rgb="FF800000"/>
      <name val="AngsanaUPC"/>
      <family val="1"/>
    </font>
    <font>
      <b/>
      <sz val="8"/>
      <name val="Cordia Ne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rgb="FF00B0F0"/>
      </left>
      <right>
        <color indexed="63"/>
      </right>
      <top style="medium">
        <color rgb="FF00B0F0"/>
      </top>
      <bottom>
        <color indexed="63"/>
      </bottom>
    </border>
    <border>
      <left>
        <color indexed="63"/>
      </left>
      <right>
        <color indexed="63"/>
      </right>
      <top style="medium">
        <color rgb="FF00B0F0"/>
      </top>
      <bottom>
        <color indexed="63"/>
      </bottom>
    </border>
    <border>
      <left>
        <color indexed="63"/>
      </left>
      <right style="medium">
        <color rgb="FF00B0F0"/>
      </right>
      <top style="medium">
        <color rgb="FF00B0F0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B0F0"/>
      </right>
      <top>
        <color indexed="63"/>
      </top>
      <bottom>
        <color indexed="63"/>
      </bottom>
    </border>
    <border>
      <left style="medium">
        <color rgb="FF00B0F0"/>
      </left>
      <right>
        <color indexed="63"/>
      </right>
      <top>
        <color indexed="63"/>
      </top>
      <bottom style="medium">
        <color rgb="FF00B0F0"/>
      </bottom>
    </border>
    <border>
      <left>
        <color indexed="63"/>
      </left>
      <right>
        <color indexed="63"/>
      </right>
      <top>
        <color indexed="63"/>
      </top>
      <bottom style="medium">
        <color rgb="FF00B0F0"/>
      </bottom>
    </border>
    <border>
      <left>
        <color indexed="63"/>
      </left>
      <right style="medium">
        <color rgb="FF00B0F0"/>
      </right>
      <top>
        <color indexed="63"/>
      </top>
      <bottom style="medium">
        <color rgb="FF00B0F0"/>
      </bottom>
    </border>
    <border>
      <left>
        <color indexed="63"/>
      </left>
      <right style="thin"/>
      <top>
        <color indexed="63"/>
      </top>
      <bottom style="medium">
        <color rgb="FF00B0F0"/>
      </bottom>
    </border>
    <border>
      <left style="thin"/>
      <right>
        <color indexed="63"/>
      </right>
      <top>
        <color indexed="63"/>
      </top>
      <bottom style="medium">
        <color rgb="FF00B0F0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0" applyNumberFormat="0" applyBorder="0" applyAlignment="0" applyProtection="0"/>
    <xf numFmtId="0" fontId="57" fillId="27" borderId="1" applyNumberFormat="0" applyAlignment="0" applyProtection="0"/>
    <xf numFmtId="0" fontId="5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67" fillId="0" borderId="0">
      <alignment/>
      <protection/>
    </xf>
    <xf numFmtId="0" fontId="0" fillId="32" borderId="7" applyNumberFormat="0" applyFont="0" applyAlignment="0" applyProtection="0"/>
    <xf numFmtId="0" fontId="68" fillId="27" borderId="8" applyNumberFormat="0" applyAlignment="0" applyProtection="0"/>
    <xf numFmtId="9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7" fillId="0" borderId="0">
      <alignment/>
      <protection/>
    </xf>
  </cellStyleXfs>
  <cellXfs count="225">
    <xf numFmtId="0" fontId="0" fillId="0" borderId="0" xfId="0" applyAlignment="1">
      <alignment/>
    </xf>
    <xf numFmtId="0" fontId="3" fillId="0" borderId="0" xfId="0" applyFont="1" applyAlignment="1" quotePrefix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 quotePrefix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0" xfId="0" applyFont="1" applyAlignment="1" quotePrefix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72" fillId="0" borderId="11" xfId="0" applyFont="1" applyBorder="1" applyAlignment="1">
      <alignment horizontal="center" vertical="center"/>
    </xf>
    <xf numFmtId="0" fontId="73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73" fillId="0" borderId="14" xfId="0" applyFont="1" applyBorder="1" applyAlignment="1">
      <alignment vertical="center"/>
    </xf>
    <xf numFmtId="0" fontId="3" fillId="0" borderId="21" xfId="0" applyFont="1" applyBorder="1" applyAlignment="1" quotePrefix="1">
      <alignment vertical="center"/>
    </xf>
    <xf numFmtId="0" fontId="73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13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22" fillId="0" borderId="10" xfId="0" applyFont="1" applyFill="1" applyBorder="1" applyAlignment="1">
      <alignment vertical="center"/>
    </xf>
    <xf numFmtId="14" fontId="21" fillId="0" borderId="0" xfId="0" applyNumberFormat="1" applyFont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right" vertical="center"/>
    </xf>
    <xf numFmtId="0" fontId="3" fillId="0" borderId="0" xfId="0" applyFont="1" applyFill="1" applyAlignment="1">
      <alignment vertical="center"/>
    </xf>
    <xf numFmtId="11" fontId="3" fillId="0" borderId="0" xfId="0" applyNumberFormat="1" applyFont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7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172" fontId="3" fillId="0" borderId="0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2" fontId="28" fillId="0" borderId="0" xfId="0" applyNumberFormat="1" applyFont="1" applyBorder="1" applyAlignment="1">
      <alignment vertical="center"/>
    </xf>
    <xf numFmtId="0" fontId="12" fillId="0" borderId="12" xfId="0" applyFont="1" applyFill="1" applyBorder="1" applyAlignment="1">
      <alignment horizontal="right" vertical="center"/>
    </xf>
    <xf numFmtId="0" fontId="12" fillId="0" borderId="20" xfId="0" applyFont="1" applyFill="1" applyBorder="1" applyAlignment="1">
      <alignment horizontal="right" vertical="center"/>
    </xf>
    <xf numFmtId="14" fontId="3" fillId="0" borderId="0" xfId="0" applyNumberFormat="1" applyFont="1" applyAlignment="1">
      <alignment horizontal="left" vertical="center"/>
    </xf>
    <xf numFmtId="0" fontId="29" fillId="0" borderId="0" xfId="0" applyFont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0" fontId="7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right"/>
    </xf>
    <xf numFmtId="0" fontId="4" fillId="0" borderId="0" xfId="0" applyFont="1" applyFill="1" applyBorder="1" applyAlignment="1">
      <alignment vertical="center"/>
    </xf>
    <xf numFmtId="172" fontId="28" fillId="0" borderId="0" xfId="0" applyNumberFormat="1" applyFont="1" applyFill="1" applyBorder="1" applyAlignment="1">
      <alignment vertical="center"/>
    </xf>
    <xf numFmtId="43" fontId="3" fillId="0" borderId="0" xfId="42" applyFont="1" applyFill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172" fontId="3" fillId="0" borderId="11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6" fontId="3" fillId="0" borderId="0" xfId="0" applyNumberFormat="1" applyFont="1" applyBorder="1" applyAlignment="1" quotePrefix="1">
      <alignment horizontal="center" vertical="center"/>
    </xf>
    <xf numFmtId="172" fontId="3" fillId="0" borderId="11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3" fillId="0" borderId="0" xfId="0" applyFont="1" applyBorder="1" applyAlignment="1" quotePrefix="1">
      <alignment vertical="center"/>
    </xf>
    <xf numFmtId="0" fontId="15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2" fontId="3" fillId="0" borderId="0" xfId="0" applyNumberFormat="1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 vertical="center"/>
    </xf>
    <xf numFmtId="2" fontId="75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3" fillId="0" borderId="0" xfId="0" applyFont="1" applyAlignment="1">
      <alignment horizontal="left" vertical="center" indent="1"/>
    </xf>
    <xf numFmtId="0" fontId="13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6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top"/>
    </xf>
    <xf numFmtId="0" fontId="17" fillId="0" borderId="0" xfId="0" applyFont="1" applyFill="1" applyBorder="1" applyAlignment="1">
      <alignment vertical="center"/>
    </xf>
    <xf numFmtId="0" fontId="76" fillId="0" borderId="0" xfId="0" applyFont="1" applyBorder="1" applyAlignment="1">
      <alignment/>
    </xf>
    <xf numFmtId="0" fontId="3" fillId="0" borderId="0" xfId="0" applyFont="1" applyBorder="1" applyAlignment="1">
      <alignment/>
    </xf>
    <xf numFmtId="172" fontId="3" fillId="0" borderId="11" xfId="0" applyNumberFormat="1" applyFont="1" applyBorder="1" applyAlignment="1">
      <alignment vertical="center"/>
    </xf>
    <xf numFmtId="1" fontId="13" fillId="0" borderId="0" xfId="0" applyNumberFormat="1" applyFont="1" applyBorder="1" applyAlignment="1">
      <alignment horizontal="center"/>
    </xf>
    <xf numFmtId="0" fontId="30" fillId="0" borderId="0" xfId="0" applyFont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12" fillId="0" borderId="23" xfId="0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2" fillId="0" borderId="26" xfId="0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14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vertical="center"/>
    </xf>
    <xf numFmtId="0" fontId="12" fillId="0" borderId="23" xfId="0" applyFont="1" applyBorder="1" applyAlignment="1">
      <alignment horizontal="left" vertical="center"/>
    </xf>
    <xf numFmtId="0" fontId="3" fillId="0" borderId="24" xfId="0" applyFont="1" applyFill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77" fillId="0" borderId="29" xfId="0" applyFont="1" applyBorder="1" applyAlignment="1">
      <alignment horizontal="center" vertical="center"/>
    </xf>
    <xf numFmtId="184" fontId="77" fillId="0" borderId="31" xfId="0" applyNumberFormat="1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78" fillId="0" borderId="0" xfId="0" applyFont="1" applyBorder="1" applyAlignment="1">
      <alignment vertical="center"/>
    </xf>
    <xf numFmtId="0" fontId="78" fillId="0" borderId="0" xfId="0" applyFont="1" applyFill="1" applyBorder="1" applyAlignment="1">
      <alignment horizontal="left" vertical="center"/>
    </xf>
    <xf numFmtId="0" fontId="3" fillId="0" borderId="0" xfId="0" applyFont="1" applyBorder="1" applyAlignment="1" quotePrefix="1">
      <alignment horizontal="center" vertical="center"/>
    </xf>
    <xf numFmtId="172" fontId="72" fillId="0" borderId="11" xfId="0" applyNumberFormat="1" applyFont="1" applyFill="1" applyBorder="1" applyAlignment="1">
      <alignment horizontal="center" vertical="center"/>
    </xf>
    <xf numFmtId="0" fontId="72" fillId="0" borderId="11" xfId="0" applyFont="1" applyFill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0" fontId="27" fillId="0" borderId="24" xfId="0" applyFont="1" applyFill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vertical="center"/>
    </xf>
    <xf numFmtId="0" fontId="3" fillId="0" borderId="29" xfId="0" applyFont="1" applyBorder="1" applyAlignment="1" quotePrefix="1">
      <alignment horizontal="center" vertical="center"/>
    </xf>
    <xf numFmtId="2" fontId="3" fillId="0" borderId="29" xfId="0" applyNumberFormat="1" applyFont="1" applyBorder="1" applyAlignment="1">
      <alignment vertical="center"/>
    </xf>
    <xf numFmtId="0" fontId="14" fillId="0" borderId="30" xfId="0" applyFont="1" applyBorder="1" applyAlignment="1">
      <alignment horizontal="center" vertical="center"/>
    </xf>
    <xf numFmtId="172" fontId="77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171" fontId="72" fillId="0" borderId="11" xfId="0" applyNumberFormat="1" applyFont="1" applyBorder="1" applyAlignment="1">
      <alignment horizontal="center" vertical="center"/>
    </xf>
    <xf numFmtId="0" fontId="3" fillId="0" borderId="0" xfId="0" applyFont="1" applyBorder="1" applyAlignment="1" quotePrefix="1">
      <alignment horizontal="center"/>
    </xf>
    <xf numFmtId="0" fontId="3" fillId="0" borderId="10" xfId="0" applyFont="1" applyBorder="1" applyAlignment="1">
      <alignment horizontal="left" vertical="center"/>
    </xf>
    <xf numFmtId="17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11" fontId="3" fillId="0" borderId="0" xfId="0" applyNumberFormat="1" applyFont="1" applyAlignment="1">
      <alignment horizontal="right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2" fontId="3" fillId="0" borderId="0" xfId="0" applyNumberFormat="1" applyFont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86"/>
    </xf>
    <xf numFmtId="0" fontId="3" fillId="0" borderId="0" xfId="0" applyFont="1" applyBorder="1" applyAlignment="1">
      <alignment horizontal="center" vertical="center" textRotation="90"/>
    </xf>
    <xf numFmtId="172" fontId="3" fillId="0" borderId="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_Col" xfId="64"/>
  </cellStyles>
  <dxfs count="18"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8"/>
      </font>
    </dxf>
    <dxf>
      <font>
        <color indexed="12"/>
      </font>
    </dxf>
    <dxf>
      <font>
        <color rgb="FF0000FF"/>
      </font>
      <border/>
    </dxf>
    <dxf>
      <font>
        <color rgb="FF000000"/>
      </font>
      <border/>
    </dxf>
    <dxf>
      <font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9.emf" /><Relationship Id="rId3" Type="http://schemas.openxmlformats.org/officeDocument/2006/relationships/image" Target="../media/image8.emf" /><Relationship Id="rId4" Type="http://schemas.openxmlformats.org/officeDocument/2006/relationships/image" Target="../media/image12.emf" /><Relationship Id="rId5" Type="http://schemas.openxmlformats.org/officeDocument/2006/relationships/image" Target="../media/image13.emf" /><Relationship Id="rId6" Type="http://schemas.openxmlformats.org/officeDocument/2006/relationships/image" Target="../media/image11.emf" /><Relationship Id="rId7" Type="http://schemas.openxmlformats.org/officeDocument/2006/relationships/image" Target="../media/image14.emf" /><Relationship Id="rId8" Type="http://schemas.openxmlformats.org/officeDocument/2006/relationships/image" Target="../media/image15.emf" /><Relationship Id="rId9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42</xdr:row>
      <xdr:rowOff>66675</xdr:rowOff>
    </xdr:from>
    <xdr:to>
      <xdr:col>6</xdr:col>
      <xdr:colOff>257175</xdr:colOff>
      <xdr:row>47</xdr:row>
      <xdr:rowOff>104775</xdr:rowOff>
    </xdr:to>
    <xdr:sp>
      <xdr:nvSpPr>
        <xdr:cNvPr id="1" name="Snip Single Corner Rectangle 13"/>
        <xdr:cNvSpPr>
          <a:spLocks/>
        </xdr:cNvSpPr>
      </xdr:nvSpPr>
      <xdr:spPr>
        <a:xfrm flipH="1" flipV="1">
          <a:off x="1381125" y="8467725"/>
          <a:ext cx="933450" cy="1038225"/>
        </a:xfrm>
        <a:custGeom>
          <a:pathLst>
            <a:path h="2379773" w="842205">
              <a:moveTo>
                <a:pt x="22570" y="23369"/>
              </a:moveTo>
              <a:cubicBezTo>
                <a:pt x="29060" y="37264"/>
                <a:pt x="20262" y="-11371"/>
                <a:pt x="26752" y="2524"/>
              </a:cubicBezTo>
              <a:lnTo>
                <a:pt x="326061" y="799608"/>
              </a:lnTo>
              <a:lnTo>
                <a:pt x="839107" y="2086280"/>
              </a:lnTo>
              <a:cubicBezTo>
                <a:pt x="842205" y="2379773"/>
                <a:pt x="834489" y="1839495"/>
                <a:pt x="837587" y="2132988"/>
              </a:cubicBezTo>
              <a:lnTo>
                <a:pt x="81" y="2124745"/>
              </a:lnTo>
              <a:cubicBezTo>
                <a:pt x="-1635" y="1706103"/>
                <a:pt x="24286" y="442011"/>
                <a:pt x="22570" y="23369"/>
              </a:cubicBezTo>
              <a:close/>
            </a:path>
          </a:pathLst>
        </a:custGeom>
        <a:solidFill>
          <a:srgbClr val="F7964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</xdr:col>
      <xdr:colOff>76200</xdr:colOff>
      <xdr:row>35</xdr:row>
      <xdr:rowOff>114300</xdr:rowOff>
    </xdr:from>
    <xdr:to>
      <xdr:col>7</xdr:col>
      <xdr:colOff>295275</xdr:colOff>
      <xdr:row>41</xdr:row>
      <xdr:rowOff>171450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rcRect l="22764" t="18557" r="22941" b="17440"/>
        <a:stretch>
          <a:fillRect/>
        </a:stretch>
      </xdr:blipFill>
      <xdr:spPr>
        <a:xfrm>
          <a:off x="419100" y="7115175"/>
          <a:ext cx="22764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114300</xdr:colOff>
      <xdr:row>34</xdr:row>
      <xdr:rowOff>161925</xdr:rowOff>
    </xdr:from>
    <xdr:to>
      <xdr:col>4</xdr:col>
      <xdr:colOff>257175</xdr:colOff>
      <xdr:row>36</xdr:row>
      <xdr:rowOff>85725</xdr:rowOff>
    </xdr:to>
    <xdr:sp>
      <xdr:nvSpPr>
        <xdr:cNvPr id="3" name="Right Arrow 185"/>
        <xdr:cNvSpPr>
          <a:spLocks/>
        </xdr:cNvSpPr>
      </xdr:nvSpPr>
      <xdr:spPr>
        <a:xfrm rot="5400000">
          <a:off x="1485900" y="6962775"/>
          <a:ext cx="142875" cy="323850"/>
        </a:xfrm>
        <a:prstGeom prst="rightArrow">
          <a:avLst>
            <a:gd name="adj" fmla="val 29134"/>
          </a:avLst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76200</xdr:colOff>
      <xdr:row>41</xdr:row>
      <xdr:rowOff>152400</xdr:rowOff>
    </xdr:from>
    <xdr:to>
      <xdr:col>4</xdr:col>
      <xdr:colOff>238125</xdr:colOff>
      <xdr:row>41</xdr:row>
      <xdr:rowOff>152400</xdr:rowOff>
    </xdr:to>
    <xdr:sp>
      <xdr:nvSpPr>
        <xdr:cNvPr id="4" name="Straight Connector 20"/>
        <xdr:cNvSpPr>
          <a:spLocks/>
        </xdr:cNvSpPr>
      </xdr:nvSpPr>
      <xdr:spPr>
        <a:xfrm>
          <a:off x="1104900" y="8353425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180975</xdr:colOff>
      <xdr:row>35</xdr:row>
      <xdr:rowOff>9525</xdr:rowOff>
    </xdr:from>
    <xdr:to>
      <xdr:col>4</xdr:col>
      <xdr:colOff>180975</xdr:colOff>
      <xdr:row>35</xdr:row>
      <xdr:rowOff>104775</xdr:rowOff>
    </xdr:to>
    <xdr:sp>
      <xdr:nvSpPr>
        <xdr:cNvPr id="5" name="Straight Connector 22"/>
        <xdr:cNvSpPr>
          <a:spLocks/>
        </xdr:cNvSpPr>
      </xdr:nvSpPr>
      <xdr:spPr>
        <a:xfrm rot="5400000">
          <a:off x="1552575" y="7010400"/>
          <a:ext cx="0" cy="952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4</xdr:col>
      <xdr:colOff>161925</xdr:colOff>
      <xdr:row>41</xdr:row>
      <xdr:rowOff>123825</xdr:rowOff>
    </xdr:from>
    <xdr:to>
      <xdr:col>4</xdr:col>
      <xdr:colOff>228600</xdr:colOff>
      <xdr:row>41</xdr:row>
      <xdr:rowOff>190500</xdr:rowOff>
    </xdr:to>
    <xdr:sp>
      <xdr:nvSpPr>
        <xdr:cNvPr id="6" name="Straight Connector 24"/>
        <xdr:cNvSpPr>
          <a:spLocks/>
        </xdr:cNvSpPr>
      </xdr:nvSpPr>
      <xdr:spPr>
        <a:xfrm flipH="1">
          <a:off x="1533525" y="8324850"/>
          <a:ext cx="66675" cy="66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57150</xdr:colOff>
      <xdr:row>41</xdr:row>
      <xdr:rowOff>123825</xdr:rowOff>
    </xdr:from>
    <xdr:to>
      <xdr:col>3</xdr:col>
      <xdr:colOff>123825</xdr:colOff>
      <xdr:row>41</xdr:row>
      <xdr:rowOff>190500</xdr:rowOff>
    </xdr:to>
    <xdr:sp>
      <xdr:nvSpPr>
        <xdr:cNvPr id="7" name="Straight Connector 24"/>
        <xdr:cNvSpPr>
          <a:spLocks/>
        </xdr:cNvSpPr>
      </xdr:nvSpPr>
      <xdr:spPr>
        <a:xfrm flipH="1">
          <a:off x="1085850" y="8324850"/>
          <a:ext cx="66675" cy="666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31</xdr:row>
      <xdr:rowOff>85725</xdr:rowOff>
    </xdr:from>
    <xdr:to>
      <xdr:col>3</xdr:col>
      <xdr:colOff>38100</xdr:colOff>
      <xdr:row>48</xdr:row>
      <xdr:rowOff>161925</xdr:rowOff>
    </xdr:to>
    <xdr:sp>
      <xdr:nvSpPr>
        <xdr:cNvPr id="8" name="Straight Connector 39"/>
        <xdr:cNvSpPr>
          <a:spLocks/>
        </xdr:cNvSpPr>
      </xdr:nvSpPr>
      <xdr:spPr>
        <a:xfrm>
          <a:off x="1066800" y="6286500"/>
          <a:ext cx="0" cy="3476625"/>
        </a:xfrm>
        <a:prstGeom prst="line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171450</xdr:colOff>
      <xdr:row>37</xdr:row>
      <xdr:rowOff>9525</xdr:rowOff>
    </xdr:from>
    <xdr:to>
      <xdr:col>5</xdr:col>
      <xdr:colOff>142875</xdr:colOff>
      <xdr:row>38</xdr:row>
      <xdr:rowOff>28575</xdr:rowOff>
    </xdr:to>
    <xdr:sp>
      <xdr:nvSpPr>
        <xdr:cNvPr id="9" name="Curved Down Arrow 40"/>
        <xdr:cNvSpPr>
          <a:spLocks/>
        </xdr:cNvSpPr>
      </xdr:nvSpPr>
      <xdr:spPr>
        <a:xfrm>
          <a:off x="1200150" y="7410450"/>
          <a:ext cx="657225" cy="219075"/>
        </a:xfrm>
        <a:prstGeom prst="curvedDownArrow">
          <a:avLst>
            <a:gd name="adj1" fmla="val 33314"/>
            <a:gd name="adj2" fmla="val 45828"/>
            <a:gd name="adj3" fmla="val 25000"/>
          </a:avLst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304800</xdr:colOff>
      <xdr:row>43</xdr:row>
      <xdr:rowOff>200025</xdr:rowOff>
    </xdr:from>
    <xdr:to>
      <xdr:col>3</xdr:col>
      <xdr:colOff>114300</xdr:colOff>
      <xdr:row>45</xdr:row>
      <xdr:rowOff>123825</xdr:rowOff>
    </xdr:to>
    <xdr:sp>
      <xdr:nvSpPr>
        <xdr:cNvPr id="10" name="Right Arrow 185"/>
        <xdr:cNvSpPr>
          <a:spLocks/>
        </xdr:cNvSpPr>
      </xdr:nvSpPr>
      <xdr:spPr>
        <a:xfrm rot="5400000">
          <a:off x="990600" y="8801100"/>
          <a:ext cx="152400" cy="323850"/>
        </a:xfrm>
        <a:prstGeom prst="rightArrow">
          <a:avLst>
            <a:gd name="adj" fmla="val 28476"/>
          </a:avLst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76200</xdr:colOff>
      <xdr:row>37</xdr:row>
      <xdr:rowOff>66675</xdr:rowOff>
    </xdr:from>
    <xdr:to>
      <xdr:col>5</xdr:col>
      <xdr:colOff>333375</xdr:colOff>
      <xdr:row>38</xdr:row>
      <xdr:rowOff>85725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790700" y="746760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</a:t>
          </a:r>
        </a:p>
      </xdr:txBody>
    </xdr:sp>
    <xdr:clientData/>
  </xdr:twoCellAnchor>
  <xdr:twoCellAnchor>
    <xdr:from>
      <xdr:col>2</xdr:col>
      <xdr:colOff>123825</xdr:colOff>
      <xdr:row>37</xdr:row>
      <xdr:rowOff>85725</xdr:rowOff>
    </xdr:from>
    <xdr:to>
      <xdr:col>3</xdr:col>
      <xdr:colOff>47625</xdr:colOff>
      <xdr:row>38</xdr:row>
      <xdr:rowOff>104775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809625" y="7486650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</a:t>
          </a:r>
        </a:p>
      </xdr:txBody>
    </xdr:sp>
    <xdr:clientData/>
  </xdr:twoCellAnchor>
  <xdr:twoCellAnchor>
    <xdr:from>
      <xdr:col>4</xdr:col>
      <xdr:colOff>190500</xdr:colOff>
      <xdr:row>33</xdr:row>
      <xdr:rowOff>161925</xdr:rowOff>
    </xdr:from>
    <xdr:to>
      <xdr:col>4</xdr:col>
      <xdr:colOff>190500</xdr:colOff>
      <xdr:row>47</xdr:row>
      <xdr:rowOff>9525</xdr:rowOff>
    </xdr:to>
    <xdr:sp>
      <xdr:nvSpPr>
        <xdr:cNvPr id="13" name="Straight Connector 39"/>
        <xdr:cNvSpPr>
          <a:spLocks/>
        </xdr:cNvSpPr>
      </xdr:nvSpPr>
      <xdr:spPr>
        <a:xfrm>
          <a:off x="1562100" y="6762750"/>
          <a:ext cx="0" cy="2647950"/>
        </a:xfrm>
        <a:prstGeom prst="line">
          <a:avLst/>
        </a:prstGeom>
        <a:noFill/>
        <a:ln w="12700" cmpd="sng">
          <a:solidFill>
            <a:srgbClr val="00B05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238125</xdr:colOff>
      <xdr:row>42</xdr:row>
      <xdr:rowOff>47625</xdr:rowOff>
    </xdr:from>
    <xdr:to>
      <xdr:col>6</xdr:col>
      <xdr:colOff>257175</xdr:colOff>
      <xdr:row>47</xdr:row>
      <xdr:rowOff>180975</xdr:rowOff>
    </xdr:to>
    <xdr:sp>
      <xdr:nvSpPr>
        <xdr:cNvPr id="14" name="Straight Arrow Connector 52"/>
        <xdr:cNvSpPr>
          <a:spLocks/>
        </xdr:cNvSpPr>
      </xdr:nvSpPr>
      <xdr:spPr>
        <a:xfrm flipV="1">
          <a:off x="2295525" y="8448675"/>
          <a:ext cx="19050" cy="11334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76200</xdr:colOff>
      <xdr:row>42</xdr:row>
      <xdr:rowOff>76200</xdr:rowOff>
    </xdr:from>
    <xdr:to>
      <xdr:col>5</xdr:col>
      <xdr:colOff>76200</xdr:colOff>
      <xdr:row>44</xdr:row>
      <xdr:rowOff>152400</xdr:rowOff>
    </xdr:to>
    <xdr:sp>
      <xdr:nvSpPr>
        <xdr:cNvPr id="15" name="Straight Arrow Connector 52"/>
        <xdr:cNvSpPr>
          <a:spLocks/>
        </xdr:cNvSpPr>
      </xdr:nvSpPr>
      <xdr:spPr>
        <a:xfrm flipH="1" flipV="1">
          <a:off x="1790700" y="8477250"/>
          <a:ext cx="0" cy="4762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285750</xdr:colOff>
      <xdr:row>42</xdr:row>
      <xdr:rowOff>76200</xdr:rowOff>
    </xdr:from>
    <xdr:to>
      <xdr:col>7</xdr:col>
      <xdr:colOff>85725</xdr:colOff>
      <xdr:row>42</xdr:row>
      <xdr:rowOff>76200</xdr:rowOff>
    </xdr:to>
    <xdr:sp>
      <xdr:nvSpPr>
        <xdr:cNvPr id="16" name="Straight Connector 2"/>
        <xdr:cNvSpPr>
          <a:spLocks/>
        </xdr:cNvSpPr>
      </xdr:nvSpPr>
      <xdr:spPr>
        <a:xfrm>
          <a:off x="2343150" y="8477250"/>
          <a:ext cx="1428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304800</xdr:colOff>
      <xdr:row>47</xdr:row>
      <xdr:rowOff>95250</xdr:rowOff>
    </xdr:from>
    <xdr:to>
      <xdr:col>7</xdr:col>
      <xdr:colOff>66675</xdr:colOff>
      <xdr:row>47</xdr:row>
      <xdr:rowOff>95250</xdr:rowOff>
    </xdr:to>
    <xdr:sp>
      <xdr:nvSpPr>
        <xdr:cNvPr id="17" name="Straight Connector 50"/>
        <xdr:cNvSpPr>
          <a:spLocks/>
        </xdr:cNvSpPr>
      </xdr:nvSpPr>
      <xdr:spPr>
        <a:xfrm>
          <a:off x="2362200" y="9496425"/>
          <a:ext cx="1047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304800</xdr:colOff>
      <xdr:row>47</xdr:row>
      <xdr:rowOff>161925</xdr:rowOff>
    </xdr:from>
    <xdr:to>
      <xdr:col>3</xdr:col>
      <xdr:colOff>333375</xdr:colOff>
      <xdr:row>48</xdr:row>
      <xdr:rowOff>19050</xdr:rowOff>
    </xdr:to>
    <xdr:sp>
      <xdr:nvSpPr>
        <xdr:cNvPr id="18" name="Straight Connector 2"/>
        <xdr:cNvSpPr>
          <a:spLocks/>
        </xdr:cNvSpPr>
      </xdr:nvSpPr>
      <xdr:spPr>
        <a:xfrm flipH="1" flipV="1">
          <a:off x="1333500" y="9563100"/>
          <a:ext cx="28575" cy="571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19050</xdr:colOff>
      <xdr:row>42</xdr:row>
      <xdr:rowOff>28575</xdr:rowOff>
    </xdr:from>
    <xdr:to>
      <xdr:col>7</xdr:col>
      <xdr:colOff>85725</xdr:colOff>
      <xdr:row>42</xdr:row>
      <xdr:rowOff>104775</xdr:rowOff>
    </xdr:to>
    <xdr:sp>
      <xdr:nvSpPr>
        <xdr:cNvPr id="19" name="Straight Connector 2"/>
        <xdr:cNvSpPr>
          <a:spLocks/>
        </xdr:cNvSpPr>
      </xdr:nvSpPr>
      <xdr:spPr>
        <a:xfrm flipV="1">
          <a:off x="2419350" y="8429625"/>
          <a:ext cx="66675" cy="76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28575</xdr:colOff>
      <xdr:row>42</xdr:row>
      <xdr:rowOff>38100</xdr:rowOff>
    </xdr:from>
    <xdr:to>
      <xdr:col>7</xdr:col>
      <xdr:colOff>28575</xdr:colOff>
      <xdr:row>48</xdr:row>
      <xdr:rowOff>28575</xdr:rowOff>
    </xdr:to>
    <xdr:sp>
      <xdr:nvSpPr>
        <xdr:cNvPr id="20" name="Straight Connector 25"/>
        <xdr:cNvSpPr>
          <a:spLocks/>
        </xdr:cNvSpPr>
      </xdr:nvSpPr>
      <xdr:spPr>
        <a:xfrm flipV="1">
          <a:off x="2428875" y="8439150"/>
          <a:ext cx="0" cy="11906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323850</xdr:colOff>
      <xdr:row>47</xdr:row>
      <xdr:rowOff>123825</xdr:rowOff>
    </xdr:from>
    <xdr:to>
      <xdr:col>3</xdr:col>
      <xdr:colOff>323850</xdr:colOff>
      <xdr:row>48</xdr:row>
      <xdr:rowOff>57150</xdr:rowOff>
    </xdr:to>
    <xdr:sp>
      <xdr:nvSpPr>
        <xdr:cNvPr id="21" name="Straight Connector 25"/>
        <xdr:cNvSpPr>
          <a:spLocks/>
        </xdr:cNvSpPr>
      </xdr:nvSpPr>
      <xdr:spPr>
        <a:xfrm flipV="1">
          <a:off x="1352550" y="9525000"/>
          <a:ext cx="0" cy="133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57150</xdr:colOff>
      <xdr:row>65</xdr:row>
      <xdr:rowOff>76200</xdr:rowOff>
    </xdr:from>
    <xdr:to>
      <xdr:col>24</xdr:col>
      <xdr:colOff>323850</xdr:colOff>
      <xdr:row>66</xdr:row>
      <xdr:rowOff>95250</xdr:rowOff>
    </xdr:to>
    <xdr:sp fLocksText="0">
      <xdr:nvSpPr>
        <xdr:cNvPr id="22" name="TextBox 23"/>
        <xdr:cNvSpPr txBox="1">
          <a:spLocks noChangeArrowheads="1"/>
        </xdr:cNvSpPr>
      </xdr:nvSpPr>
      <xdr:spPr>
        <a:xfrm>
          <a:off x="8477250" y="13077825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1</xdr:col>
      <xdr:colOff>47625</xdr:colOff>
      <xdr:row>23</xdr:row>
      <xdr:rowOff>161925</xdr:rowOff>
    </xdr:from>
    <xdr:to>
      <xdr:col>7</xdr:col>
      <xdr:colOff>238125</xdr:colOff>
      <xdr:row>33</xdr:row>
      <xdr:rowOff>0</xdr:rowOff>
    </xdr:to>
    <xdr:pic>
      <xdr:nvPicPr>
        <xdr:cNvPr id="23" name="Picture 38"/>
        <xdr:cNvPicPr preferRelativeResize="1">
          <a:picLocks noChangeAspect="1"/>
        </xdr:cNvPicPr>
      </xdr:nvPicPr>
      <xdr:blipFill>
        <a:blip r:embed="rId2"/>
        <a:srcRect l="32519" t="24870" r="29753" b="18640"/>
        <a:stretch>
          <a:fillRect/>
        </a:stretch>
      </xdr:blipFill>
      <xdr:spPr>
        <a:xfrm>
          <a:off x="390525" y="4762500"/>
          <a:ext cx="22479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40</xdr:row>
      <xdr:rowOff>38100</xdr:rowOff>
    </xdr:from>
    <xdr:to>
      <xdr:col>3</xdr:col>
      <xdr:colOff>66675</xdr:colOff>
      <xdr:row>40</xdr:row>
      <xdr:rowOff>171450</xdr:rowOff>
    </xdr:to>
    <xdr:sp>
      <xdr:nvSpPr>
        <xdr:cNvPr id="24" name="Rectangle 3709970"/>
        <xdr:cNvSpPr>
          <a:spLocks/>
        </xdr:cNvSpPr>
      </xdr:nvSpPr>
      <xdr:spPr>
        <a:xfrm>
          <a:off x="1028700" y="8039100"/>
          <a:ext cx="66675" cy="133350"/>
        </a:xfrm>
        <a:prstGeom prst="rect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314325</xdr:colOff>
      <xdr:row>40</xdr:row>
      <xdr:rowOff>28575</xdr:rowOff>
    </xdr:from>
    <xdr:to>
      <xdr:col>6</xdr:col>
      <xdr:colOff>38100</xdr:colOff>
      <xdr:row>40</xdr:row>
      <xdr:rowOff>171450</xdr:rowOff>
    </xdr:to>
    <xdr:sp>
      <xdr:nvSpPr>
        <xdr:cNvPr id="25" name="Rectangle 91"/>
        <xdr:cNvSpPr>
          <a:spLocks/>
        </xdr:cNvSpPr>
      </xdr:nvSpPr>
      <xdr:spPr>
        <a:xfrm>
          <a:off x="2028825" y="8029575"/>
          <a:ext cx="66675" cy="142875"/>
        </a:xfrm>
        <a:prstGeom prst="rect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20</xdr:col>
      <xdr:colOff>66675</xdr:colOff>
      <xdr:row>35</xdr:row>
      <xdr:rowOff>114300</xdr:rowOff>
    </xdr:from>
    <xdr:to>
      <xdr:col>26</xdr:col>
      <xdr:colOff>66675</xdr:colOff>
      <xdr:row>44</xdr:row>
      <xdr:rowOff>123825</xdr:rowOff>
    </xdr:to>
    <xdr:pic>
      <xdr:nvPicPr>
        <xdr:cNvPr id="26" name="Picture 5"/>
        <xdr:cNvPicPr preferRelativeResize="1">
          <a:picLocks noChangeAspect="1"/>
        </xdr:cNvPicPr>
      </xdr:nvPicPr>
      <xdr:blipFill>
        <a:blip r:embed="rId3"/>
        <a:srcRect l="30862" t="15510" r="30070" b="16888"/>
        <a:stretch>
          <a:fillRect/>
        </a:stretch>
      </xdr:blipFill>
      <xdr:spPr>
        <a:xfrm>
          <a:off x="7115175" y="7115175"/>
          <a:ext cx="2057400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47</xdr:row>
      <xdr:rowOff>57150</xdr:rowOff>
    </xdr:from>
    <xdr:to>
      <xdr:col>7</xdr:col>
      <xdr:colOff>76200</xdr:colOff>
      <xdr:row>47</xdr:row>
      <xdr:rowOff>133350</xdr:rowOff>
    </xdr:to>
    <xdr:sp>
      <xdr:nvSpPr>
        <xdr:cNvPr id="27" name="Straight Connector 2"/>
        <xdr:cNvSpPr>
          <a:spLocks/>
        </xdr:cNvSpPr>
      </xdr:nvSpPr>
      <xdr:spPr>
        <a:xfrm flipV="1">
          <a:off x="2409825" y="9458325"/>
          <a:ext cx="66675" cy="762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295275</xdr:colOff>
      <xdr:row>47</xdr:row>
      <xdr:rowOff>200025</xdr:rowOff>
    </xdr:from>
    <xdr:to>
      <xdr:col>6</xdr:col>
      <xdr:colOff>247650</xdr:colOff>
      <xdr:row>47</xdr:row>
      <xdr:rowOff>200025</xdr:rowOff>
    </xdr:to>
    <xdr:sp>
      <xdr:nvSpPr>
        <xdr:cNvPr id="28" name="Straight Connector 20"/>
        <xdr:cNvSpPr>
          <a:spLocks/>
        </xdr:cNvSpPr>
      </xdr:nvSpPr>
      <xdr:spPr>
        <a:xfrm>
          <a:off x="1323975" y="9601200"/>
          <a:ext cx="98107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209550</xdr:colOff>
      <xdr:row>47</xdr:row>
      <xdr:rowOff>142875</xdr:rowOff>
    </xdr:from>
    <xdr:to>
      <xdr:col>6</xdr:col>
      <xdr:colOff>257175</xdr:colOff>
      <xdr:row>48</xdr:row>
      <xdr:rowOff>47625</xdr:rowOff>
    </xdr:to>
    <xdr:sp>
      <xdr:nvSpPr>
        <xdr:cNvPr id="29" name="Straight Connector 2"/>
        <xdr:cNvSpPr>
          <a:spLocks/>
        </xdr:cNvSpPr>
      </xdr:nvSpPr>
      <xdr:spPr>
        <a:xfrm flipH="1" flipV="1">
          <a:off x="2266950" y="9544050"/>
          <a:ext cx="47625" cy="104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238125</xdr:colOff>
      <xdr:row>47</xdr:row>
      <xdr:rowOff>123825</xdr:rowOff>
    </xdr:from>
    <xdr:to>
      <xdr:col>6</xdr:col>
      <xdr:colOff>238125</xdr:colOff>
      <xdr:row>48</xdr:row>
      <xdr:rowOff>57150</xdr:rowOff>
    </xdr:to>
    <xdr:sp>
      <xdr:nvSpPr>
        <xdr:cNvPr id="30" name="Straight Connector 25"/>
        <xdr:cNvSpPr>
          <a:spLocks/>
        </xdr:cNvSpPr>
      </xdr:nvSpPr>
      <xdr:spPr>
        <a:xfrm flipV="1">
          <a:off x="2295525" y="9525000"/>
          <a:ext cx="0" cy="133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57150</xdr:colOff>
      <xdr:row>48</xdr:row>
      <xdr:rowOff>190500</xdr:rowOff>
    </xdr:from>
    <xdr:to>
      <xdr:col>6</xdr:col>
      <xdr:colOff>257175</xdr:colOff>
      <xdr:row>48</xdr:row>
      <xdr:rowOff>190500</xdr:rowOff>
    </xdr:to>
    <xdr:sp>
      <xdr:nvSpPr>
        <xdr:cNvPr id="31" name="Straight Connector 20"/>
        <xdr:cNvSpPr>
          <a:spLocks/>
        </xdr:cNvSpPr>
      </xdr:nvSpPr>
      <xdr:spPr>
        <a:xfrm>
          <a:off x="1085850" y="9791700"/>
          <a:ext cx="12287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228600</xdr:colOff>
      <xdr:row>48</xdr:row>
      <xdr:rowOff>142875</xdr:rowOff>
    </xdr:from>
    <xdr:to>
      <xdr:col>6</xdr:col>
      <xdr:colOff>276225</xdr:colOff>
      <xdr:row>49</xdr:row>
      <xdr:rowOff>47625</xdr:rowOff>
    </xdr:to>
    <xdr:sp>
      <xdr:nvSpPr>
        <xdr:cNvPr id="32" name="Straight Connector 2"/>
        <xdr:cNvSpPr>
          <a:spLocks/>
        </xdr:cNvSpPr>
      </xdr:nvSpPr>
      <xdr:spPr>
        <a:xfrm flipH="1" flipV="1">
          <a:off x="2286000" y="9744075"/>
          <a:ext cx="47625" cy="104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247650</xdr:colOff>
      <xdr:row>48</xdr:row>
      <xdr:rowOff>123825</xdr:rowOff>
    </xdr:from>
    <xdr:to>
      <xdr:col>6</xdr:col>
      <xdr:colOff>247650</xdr:colOff>
      <xdr:row>49</xdr:row>
      <xdr:rowOff>57150</xdr:rowOff>
    </xdr:to>
    <xdr:sp>
      <xdr:nvSpPr>
        <xdr:cNvPr id="33" name="Straight Connector 25"/>
        <xdr:cNvSpPr>
          <a:spLocks/>
        </xdr:cNvSpPr>
      </xdr:nvSpPr>
      <xdr:spPr>
        <a:xfrm flipV="1">
          <a:off x="2305050" y="9725025"/>
          <a:ext cx="0" cy="133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38100</xdr:colOff>
      <xdr:row>48</xdr:row>
      <xdr:rowOff>142875</xdr:rowOff>
    </xdr:from>
    <xdr:to>
      <xdr:col>3</xdr:col>
      <xdr:colOff>85725</xdr:colOff>
      <xdr:row>49</xdr:row>
      <xdr:rowOff>47625</xdr:rowOff>
    </xdr:to>
    <xdr:sp>
      <xdr:nvSpPr>
        <xdr:cNvPr id="34" name="Straight Connector 2"/>
        <xdr:cNvSpPr>
          <a:spLocks/>
        </xdr:cNvSpPr>
      </xdr:nvSpPr>
      <xdr:spPr>
        <a:xfrm flipH="1" flipV="1">
          <a:off x="1066800" y="9744075"/>
          <a:ext cx="47625" cy="104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66675</xdr:colOff>
      <xdr:row>48</xdr:row>
      <xdr:rowOff>123825</xdr:rowOff>
    </xdr:from>
    <xdr:to>
      <xdr:col>3</xdr:col>
      <xdr:colOff>66675</xdr:colOff>
      <xdr:row>49</xdr:row>
      <xdr:rowOff>57150</xdr:rowOff>
    </xdr:to>
    <xdr:sp>
      <xdr:nvSpPr>
        <xdr:cNvPr id="35" name="Straight Connector 25"/>
        <xdr:cNvSpPr>
          <a:spLocks/>
        </xdr:cNvSpPr>
      </xdr:nvSpPr>
      <xdr:spPr>
        <a:xfrm flipV="1">
          <a:off x="1095375" y="9725025"/>
          <a:ext cx="0" cy="133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276225</xdr:colOff>
      <xdr:row>30</xdr:row>
      <xdr:rowOff>133350</xdr:rowOff>
    </xdr:from>
    <xdr:to>
      <xdr:col>6</xdr:col>
      <xdr:colOff>19050</xdr:colOff>
      <xdr:row>31</xdr:row>
      <xdr:rowOff>28575</xdr:rowOff>
    </xdr:to>
    <xdr:sp>
      <xdr:nvSpPr>
        <xdr:cNvPr id="36" name="Oval 3709973"/>
        <xdr:cNvSpPr>
          <a:spLocks/>
        </xdr:cNvSpPr>
      </xdr:nvSpPr>
      <xdr:spPr>
        <a:xfrm>
          <a:off x="1990725" y="6134100"/>
          <a:ext cx="85725" cy="95250"/>
        </a:xfrm>
        <a:prstGeom prst="ellipse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133350</xdr:rowOff>
    </xdr:from>
    <xdr:to>
      <xdr:col>3</xdr:col>
      <xdr:colOff>95250</xdr:colOff>
      <xdr:row>31</xdr:row>
      <xdr:rowOff>28575</xdr:rowOff>
    </xdr:to>
    <xdr:sp>
      <xdr:nvSpPr>
        <xdr:cNvPr id="37" name="Oval 107"/>
        <xdr:cNvSpPr>
          <a:spLocks/>
        </xdr:cNvSpPr>
      </xdr:nvSpPr>
      <xdr:spPr>
        <a:xfrm>
          <a:off x="1028700" y="6134100"/>
          <a:ext cx="95250" cy="95250"/>
        </a:xfrm>
        <a:prstGeom prst="ellipse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342900</xdr:colOff>
      <xdr:row>26</xdr:row>
      <xdr:rowOff>57150</xdr:rowOff>
    </xdr:from>
    <xdr:to>
      <xdr:col>3</xdr:col>
      <xdr:colOff>85725</xdr:colOff>
      <xdr:row>26</xdr:row>
      <xdr:rowOff>152400</xdr:rowOff>
    </xdr:to>
    <xdr:sp>
      <xdr:nvSpPr>
        <xdr:cNvPr id="38" name="Oval 108"/>
        <xdr:cNvSpPr>
          <a:spLocks/>
        </xdr:cNvSpPr>
      </xdr:nvSpPr>
      <xdr:spPr>
        <a:xfrm>
          <a:off x="1028700" y="5257800"/>
          <a:ext cx="85725" cy="95250"/>
        </a:xfrm>
        <a:prstGeom prst="ellipse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285750</xdr:colOff>
      <xdr:row>26</xdr:row>
      <xdr:rowOff>57150</xdr:rowOff>
    </xdr:from>
    <xdr:to>
      <xdr:col>6</xdr:col>
      <xdr:colOff>28575</xdr:colOff>
      <xdr:row>26</xdr:row>
      <xdr:rowOff>152400</xdr:rowOff>
    </xdr:to>
    <xdr:sp>
      <xdr:nvSpPr>
        <xdr:cNvPr id="39" name="Oval 109"/>
        <xdr:cNvSpPr>
          <a:spLocks/>
        </xdr:cNvSpPr>
      </xdr:nvSpPr>
      <xdr:spPr>
        <a:xfrm>
          <a:off x="2000250" y="5257800"/>
          <a:ext cx="85725" cy="95250"/>
        </a:xfrm>
        <a:prstGeom prst="ellipse">
          <a:avLst/>
        </a:prstGeom>
        <a:solidFill>
          <a:srgbClr val="00B0F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oneCellAnchor>
    <xdr:from>
      <xdr:col>2</xdr:col>
      <xdr:colOff>66675</xdr:colOff>
      <xdr:row>43</xdr:row>
      <xdr:rowOff>9525</xdr:rowOff>
    </xdr:from>
    <xdr:ext cx="257175" cy="238125"/>
    <xdr:sp>
      <xdr:nvSpPr>
        <xdr:cNvPr id="40" name="TextBox 45"/>
        <xdr:cNvSpPr txBox="1">
          <a:spLocks noChangeArrowheads="1"/>
        </xdr:cNvSpPr>
      </xdr:nvSpPr>
      <xdr:spPr>
        <a:xfrm>
          <a:off x="752475" y="8610600"/>
          <a:ext cx="2571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T =</a:t>
          </a:r>
        </a:p>
      </xdr:txBody>
    </xdr:sp>
    <xdr:clientData/>
  </xdr:oneCellAnchor>
  <xdr:twoCellAnchor>
    <xdr:from>
      <xdr:col>36</xdr:col>
      <xdr:colOff>57150</xdr:colOff>
      <xdr:row>64</xdr:row>
      <xdr:rowOff>76200</xdr:rowOff>
    </xdr:from>
    <xdr:to>
      <xdr:col>36</xdr:col>
      <xdr:colOff>323850</xdr:colOff>
      <xdr:row>65</xdr:row>
      <xdr:rowOff>95250</xdr:rowOff>
    </xdr:to>
    <xdr:sp fLocksText="0">
      <xdr:nvSpPr>
        <xdr:cNvPr id="41" name="TextBox 46"/>
        <xdr:cNvSpPr txBox="1">
          <a:spLocks noChangeArrowheads="1"/>
        </xdr:cNvSpPr>
      </xdr:nvSpPr>
      <xdr:spPr>
        <a:xfrm>
          <a:off x="12592050" y="12877800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20</xdr:col>
      <xdr:colOff>161925</xdr:colOff>
      <xdr:row>52</xdr:row>
      <xdr:rowOff>85725</xdr:rowOff>
    </xdr:from>
    <xdr:to>
      <xdr:col>26</xdr:col>
      <xdr:colOff>9525</xdr:colOff>
      <xdr:row>58</xdr:row>
      <xdr:rowOff>142875</xdr:rowOff>
    </xdr:to>
    <xdr:pic>
      <xdr:nvPicPr>
        <xdr:cNvPr id="42" name="Picture 3"/>
        <xdr:cNvPicPr preferRelativeResize="1">
          <a:picLocks noChangeAspect="1"/>
        </xdr:cNvPicPr>
      </xdr:nvPicPr>
      <xdr:blipFill>
        <a:blip r:embed="rId1"/>
        <a:srcRect l="22764" t="18557" r="22941" b="17440"/>
        <a:stretch>
          <a:fillRect/>
        </a:stretch>
      </xdr:blipFill>
      <xdr:spPr>
        <a:xfrm>
          <a:off x="7210425" y="10487025"/>
          <a:ext cx="19050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114300</xdr:colOff>
      <xdr:row>53</xdr:row>
      <xdr:rowOff>28575</xdr:rowOff>
    </xdr:from>
    <xdr:to>
      <xdr:col>24</xdr:col>
      <xdr:colOff>85725</xdr:colOff>
      <xdr:row>54</xdr:row>
      <xdr:rowOff>47625</xdr:rowOff>
    </xdr:to>
    <xdr:sp>
      <xdr:nvSpPr>
        <xdr:cNvPr id="43" name="Curved Down Arrow 40"/>
        <xdr:cNvSpPr>
          <a:spLocks/>
        </xdr:cNvSpPr>
      </xdr:nvSpPr>
      <xdr:spPr>
        <a:xfrm>
          <a:off x="7848600" y="10629900"/>
          <a:ext cx="657225" cy="219075"/>
        </a:xfrm>
        <a:prstGeom prst="curvedDownArrow">
          <a:avLst>
            <a:gd name="adj1" fmla="val 33634"/>
            <a:gd name="adj2" fmla="val 45912"/>
            <a:gd name="adj3" fmla="val 25000"/>
          </a:avLst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57150</xdr:colOff>
      <xdr:row>53</xdr:row>
      <xdr:rowOff>76200</xdr:rowOff>
    </xdr:from>
    <xdr:to>
      <xdr:col>24</xdr:col>
      <xdr:colOff>323850</xdr:colOff>
      <xdr:row>54</xdr:row>
      <xdr:rowOff>95250</xdr:rowOff>
    </xdr:to>
    <xdr:sp>
      <xdr:nvSpPr>
        <xdr:cNvPr id="44" name="TextBox 49"/>
        <xdr:cNvSpPr txBox="1">
          <a:spLocks noChangeArrowheads="1"/>
        </xdr:cNvSpPr>
      </xdr:nvSpPr>
      <xdr:spPr>
        <a:xfrm>
          <a:off x="8477250" y="10677525"/>
          <a:ext cx="266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</a:t>
          </a:r>
        </a:p>
      </xdr:txBody>
    </xdr:sp>
    <xdr:clientData/>
  </xdr:twoCellAnchor>
  <xdr:twoCellAnchor>
    <xdr:from>
      <xdr:col>23</xdr:col>
      <xdr:colOff>266700</xdr:colOff>
      <xdr:row>57</xdr:row>
      <xdr:rowOff>133350</xdr:rowOff>
    </xdr:from>
    <xdr:to>
      <xdr:col>24</xdr:col>
      <xdr:colOff>76200</xdr:colOff>
      <xdr:row>59</xdr:row>
      <xdr:rowOff>57150</xdr:rowOff>
    </xdr:to>
    <xdr:sp>
      <xdr:nvSpPr>
        <xdr:cNvPr id="45" name="Right Arrow 185"/>
        <xdr:cNvSpPr>
          <a:spLocks/>
        </xdr:cNvSpPr>
      </xdr:nvSpPr>
      <xdr:spPr>
        <a:xfrm rot="5400000">
          <a:off x="8343900" y="11534775"/>
          <a:ext cx="152400" cy="323850"/>
        </a:xfrm>
        <a:prstGeom prst="rightArrow">
          <a:avLst>
            <a:gd name="adj" fmla="val 28643"/>
          </a:avLst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76200</xdr:colOff>
      <xdr:row>57</xdr:row>
      <xdr:rowOff>104775</xdr:rowOff>
    </xdr:from>
    <xdr:to>
      <xdr:col>22</xdr:col>
      <xdr:colOff>228600</xdr:colOff>
      <xdr:row>59</xdr:row>
      <xdr:rowOff>28575</xdr:rowOff>
    </xdr:to>
    <xdr:sp>
      <xdr:nvSpPr>
        <xdr:cNvPr id="46" name="Right Arrow 185"/>
        <xdr:cNvSpPr>
          <a:spLocks/>
        </xdr:cNvSpPr>
      </xdr:nvSpPr>
      <xdr:spPr>
        <a:xfrm rot="16200000" flipV="1">
          <a:off x="7810500" y="11506200"/>
          <a:ext cx="152400" cy="323850"/>
        </a:xfrm>
        <a:prstGeom prst="rightArrow">
          <a:avLst>
            <a:gd name="adj" fmla="val 28171"/>
          </a:avLst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200025</xdr:colOff>
      <xdr:row>58</xdr:row>
      <xdr:rowOff>38100</xdr:rowOff>
    </xdr:from>
    <xdr:to>
      <xdr:col>23</xdr:col>
      <xdr:colOff>304800</xdr:colOff>
      <xdr:row>58</xdr:row>
      <xdr:rowOff>104775</xdr:rowOff>
    </xdr:to>
    <xdr:sp>
      <xdr:nvSpPr>
        <xdr:cNvPr id="47" name="Rectangle 2"/>
        <xdr:cNvSpPr>
          <a:spLocks/>
        </xdr:cNvSpPr>
      </xdr:nvSpPr>
      <xdr:spPr>
        <a:xfrm>
          <a:off x="7934325" y="11639550"/>
          <a:ext cx="447675" cy="6667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257175</xdr:colOff>
      <xdr:row>58</xdr:row>
      <xdr:rowOff>123825</xdr:rowOff>
    </xdr:from>
    <xdr:to>
      <xdr:col>23</xdr:col>
      <xdr:colOff>47625</xdr:colOff>
      <xdr:row>59</xdr:row>
      <xdr:rowOff>104775</xdr:rowOff>
    </xdr:to>
    <xdr:sp>
      <xdr:nvSpPr>
        <xdr:cNvPr id="48" name="Straight Arrow Connector 5"/>
        <xdr:cNvSpPr>
          <a:spLocks/>
        </xdr:cNvSpPr>
      </xdr:nvSpPr>
      <xdr:spPr>
        <a:xfrm flipV="1">
          <a:off x="7991475" y="11725275"/>
          <a:ext cx="133350" cy="1809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21</xdr:col>
      <xdr:colOff>76200</xdr:colOff>
      <xdr:row>60</xdr:row>
      <xdr:rowOff>190500</xdr:rowOff>
    </xdr:from>
    <xdr:to>
      <xdr:col>25</xdr:col>
      <xdr:colOff>142875</xdr:colOff>
      <xdr:row>66</xdr:row>
      <xdr:rowOff>133350</xdr:rowOff>
    </xdr:to>
    <xdr:pic>
      <xdr:nvPicPr>
        <xdr:cNvPr id="49" name="Picture 7"/>
        <xdr:cNvPicPr preferRelativeResize="1">
          <a:picLocks noChangeAspect="1"/>
        </xdr:cNvPicPr>
      </xdr:nvPicPr>
      <xdr:blipFill>
        <a:blip r:embed="rId4"/>
        <a:srcRect l="29393" t="19975" r="30348" b="21418"/>
        <a:stretch>
          <a:fillRect/>
        </a:stretch>
      </xdr:blipFill>
      <xdr:spPr>
        <a:xfrm>
          <a:off x="7467600" y="12192000"/>
          <a:ext cx="14382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38100</xdr:colOff>
      <xdr:row>62</xdr:row>
      <xdr:rowOff>171450</xdr:rowOff>
    </xdr:from>
    <xdr:to>
      <xdr:col>22</xdr:col>
      <xdr:colOff>38100</xdr:colOff>
      <xdr:row>64</xdr:row>
      <xdr:rowOff>152400</xdr:rowOff>
    </xdr:to>
    <xdr:sp>
      <xdr:nvSpPr>
        <xdr:cNvPr id="50" name="Straight Connector 11"/>
        <xdr:cNvSpPr>
          <a:spLocks/>
        </xdr:cNvSpPr>
      </xdr:nvSpPr>
      <xdr:spPr>
        <a:xfrm flipH="1">
          <a:off x="7772400" y="12573000"/>
          <a:ext cx="0" cy="381000"/>
        </a:xfrm>
        <a:prstGeom prst="line">
          <a:avLst/>
        </a:prstGeom>
        <a:noFill/>
        <a:ln w="190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85725</xdr:colOff>
      <xdr:row>63</xdr:row>
      <xdr:rowOff>200025</xdr:rowOff>
    </xdr:from>
    <xdr:to>
      <xdr:col>22</xdr:col>
      <xdr:colOff>85725</xdr:colOff>
      <xdr:row>64</xdr:row>
      <xdr:rowOff>142875</xdr:rowOff>
    </xdr:to>
    <xdr:sp>
      <xdr:nvSpPr>
        <xdr:cNvPr id="51" name="Straight Connector 71"/>
        <xdr:cNvSpPr>
          <a:spLocks/>
        </xdr:cNvSpPr>
      </xdr:nvSpPr>
      <xdr:spPr>
        <a:xfrm flipH="1">
          <a:off x="7820025" y="12801600"/>
          <a:ext cx="0" cy="142875"/>
        </a:xfrm>
        <a:prstGeom prst="line">
          <a:avLst/>
        </a:prstGeom>
        <a:noFill/>
        <a:ln w="190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85725</xdr:colOff>
      <xdr:row>62</xdr:row>
      <xdr:rowOff>171450</xdr:rowOff>
    </xdr:from>
    <xdr:to>
      <xdr:col>22</xdr:col>
      <xdr:colOff>85725</xdr:colOff>
      <xdr:row>63</xdr:row>
      <xdr:rowOff>114300</xdr:rowOff>
    </xdr:to>
    <xdr:sp>
      <xdr:nvSpPr>
        <xdr:cNvPr id="52" name="Straight Connector 72"/>
        <xdr:cNvSpPr>
          <a:spLocks/>
        </xdr:cNvSpPr>
      </xdr:nvSpPr>
      <xdr:spPr>
        <a:xfrm flipH="1">
          <a:off x="7820025" y="12573000"/>
          <a:ext cx="0" cy="142875"/>
        </a:xfrm>
        <a:prstGeom prst="line">
          <a:avLst/>
        </a:prstGeom>
        <a:noFill/>
        <a:ln w="190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28575</xdr:colOff>
      <xdr:row>62</xdr:row>
      <xdr:rowOff>161925</xdr:rowOff>
    </xdr:from>
    <xdr:to>
      <xdr:col>22</xdr:col>
      <xdr:colOff>104775</xdr:colOff>
      <xdr:row>62</xdr:row>
      <xdr:rowOff>161925</xdr:rowOff>
    </xdr:to>
    <xdr:sp>
      <xdr:nvSpPr>
        <xdr:cNvPr id="53" name="Straight Connector 73"/>
        <xdr:cNvSpPr>
          <a:spLocks/>
        </xdr:cNvSpPr>
      </xdr:nvSpPr>
      <xdr:spPr>
        <a:xfrm rot="5400000" flipH="1">
          <a:off x="7762875" y="12563475"/>
          <a:ext cx="76200" cy="0"/>
        </a:xfrm>
        <a:prstGeom prst="line">
          <a:avLst/>
        </a:prstGeom>
        <a:noFill/>
        <a:ln w="190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19050</xdr:colOff>
      <xdr:row>64</xdr:row>
      <xdr:rowOff>152400</xdr:rowOff>
    </xdr:from>
    <xdr:to>
      <xdr:col>22</xdr:col>
      <xdr:colOff>95250</xdr:colOff>
      <xdr:row>64</xdr:row>
      <xdr:rowOff>152400</xdr:rowOff>
    </xdr:to>
    <xdr:sp>
      <xdr:nvSpPr>
        <xdr:cNvPr id="54" name="Straight Connector 74"/>
        <xdr:cNvSpPr>
          <a:spLocks/>
        </xdr:cNvSpPr>
      </xdr:nvSpPr>
      <xdr:spPr>
        <a:xfrm rot="5400000" flipH="1">
          <a:off x="7753350" y="12954000"/>
          <a:ext cx="76200" cy="0"/>
        </a:xfrm>
        <a:prstGeom prst="line">
          <a:avLst/>
        </a:prstGeom>
        <a:noFill/>
        <a:ln w="190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161925</xdr:colOff>
      <xdr:row>62</xdr:row>
      <xdr:rowOff>171450</xdr:rowOff>
    </xdr:from>
    <xdr:to>
      <xdr:col>24</xdr:col>
      <xdr:colOff>161925</xdr:colOff>
      <xdr:row>64</xdr:row>
      <xdr:rowOff>152400</xdr:rowOff>
    </xdr:to>
    <xdr:sp>
      <xdr:nvSpPr>
        <xdr:cNvPr id="55" name="Straight Connector 75"/>
        <xdr:cNvSpPr>
          <a:spLocks/>
        </xdr:cNvSpPr>
      </xdr:nvSpPr>
      <xdr:spPr>
        <a:xfrm flipH="1">
          <a:off x="8582025" y="12573000"/>
          <a:ext cx="0" cy="381000"/>
        </a:xfrm>
        <a:prstGeom prst="line">
          <a:avLst/>
        </a:prstGeom>
        <a:noFill/>
        <a:ln w="190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114300</xdr:colOff>
      <xdr:row>62</xdr:row>
      <xdr:rowOff>171450</xdr:rowOff>
    </xdr:from>
    <xdr:to>
      <xdr:col>24</xdr:col>
      <xdr:colOff>114300</xdr:colOff>
      <xdr:row>63</xdr:row>
      <xdr:rowOff>114300</xdr:rowOff>
    </xdr:to>
    <xdr:sp>
      <xdr:nvSpPr>
        <xdr:cNvPr id="56" name="Straight Connector 76"/>
        <xdr:cNvSpPr>
          <a:spLocks/>
        </xdr:cNvSpPr>
      </xdr:nvSpPr>
      <xdr:spPr>
        <a:xfrm flipH="1">
          <a:off x="8534400" y="12573000"/>
          <a:ext cx="0" cy="142875"/>
        </a:xfrm>
        <a:prstGeom prst="line">
          <a:avLst/>
        </a:prstGeom>
        <a:noFill/>
        <a:ln w="190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104775</xdr:colOff>
      <xdr:row>64</xdr:row>
      <xdr:rowOff>0</xdr:rowOff>
    </xdr:from>
    <xdr:to>
      <xdr:col>24</xdr:col>
      <xdr:colOff>104775</xdr:colOff>
      <xdr:row>64</xdr:row>
      <xdr:rowOff>142875</xdr:rowOff>
    </xdr:to>
    <xdr:sp>
      <xdr:nvSpPr>
        <xdr:cNvPr id="57" name="Straight Connector 77"/>
        <xdr:cNvSpPr>
          <a:spLocks/>
        </xdr:cNvSpPr>
      </xdr:nvSpPr>
      <xdr:spPr>
        <a:xfrm flipH="1">
          <a:off x="8524875" y="12801600"/>
          <a:ext cx="0" cy="142875"/>
        </a:xfrm>
        <a:prstGeom prst="line">
          <a:avLst/>
        </a:prstGeom>
        <a:noFill/>
        <a:ln w="190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95250</xdr:colOff>
      <xdr:row>64</xdr:row>
      <xdr:rowOff>152400</xdr:rowOff>
    </xdr:from>
    <xdr:to>
      <xdr:col>24</xdr:col>
      <xdr:colOff>171450</xdr:colOff>
      <xdr:row>64</xdr:row>
      <xdr:rowOff>152400</xdr:rowOff>
    </xdr:to>
    <xdr:sp>
      <xdr:nvSpPr>
        <xdr:cNvPr id="58" name="Straight Connector 78"/>
        <xdr:cNvSpPr>
          <a:spLocks/>
        </xdr:cNvSpPr>
      </xdr:nvSpPr>
      <xdr:spPr>
        <a:xfrm rot="5400000" flipH="1">
          <a:off x="8515350" y="12954000"/>
          <a:ext cx="76200" cy="0"/>
        </a:xfrm>
        <a:prstGeom prst="line">
          <a:avLst/>
        </a:prstGeom>
        <a:noFill/>
        <a:ln w="190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24</xdr:col>
      <xdr:colOff>104775</xdr:colOff>
      <xdr:row>62</xdr:row>
      <xdr:rowOff>161925</xdr:rowOff>
    </xdr:from>
    <xdr:to>
      <xdr:col>24</xdr:col>
      <xdr:colOff>171450</xdr:colOff>
      <xdr:row>62</xdr:row>
      <xdr:rowOff>161925</xdr:rowOff>
    </xdr:to>
    <xdr:sp>
      <xdr:nvSpPr>
        <xdr:cNvPr id="59" name="Straight Connector 79"/>
        <xdr:cNvSpPr>
          <a:spLocks/>
        </xdr:cNvSpPr>
      </xdr:nvSpPr>
      <xdr:spPr>
        <a:xfrm rot="5400000" flipH="1">
          <a:off x="8524875" y="12563475"/>
          <a:ext cx="66675" cy="0"/>
        </a:xfrm>
        <a:prstGeom prst="line">
          <a:avLst/>
        </a:prstGeom>
        <a:noFill/>
        <a:ln w="1905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22</xdr:col>
      <xdr:colOff>76200</xdr:colOff>
      <xdr:row>64</xdr:row>
      <xdr:rowOff>152400</xdr:rowOff>
    </xdr:from>
    <xdr:to>
      <xdr:col>22</xdr:col>
      <xdr:colOff>76200</xdr:colOff>
      <xdr:row>67</xdr:row>
      <xdr:rowOff>57150</xdr:rowOff>
    </xdr:to>
    <xdr:sp>
      <xdr:nvSpPr>
        <xdr:cNvPr id="60" name="Straight Arrow Connector 5"/>
        <xdr:cNvSpPr>
          <a:spLocks/>
        </xdr:cNvSpPr>
      </xdr:nvSpPr>
      <xdr:spPr>
        <a:xfrm flipH="1" flipV="1">
          <a:off x="7810500" y="12954000"/>
          <a:ext cx="0" cy="504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123825</xdr:colOff>
      <xdr:row>35</xdr:row>
      <xdr:rowOff>9525</xdr:rowOff>
    </xdr:from>
    <xdr:to>
      <xdr:col>6</xdr:col>
      <xdr:colOff>285750</xdr:colOff>
      <xdr:row>35</xdr:row>
      <xdr:rowOff>9525</xdr:rowOff>
    </xdr:to>
    <xdr:sp>
      <xdr:nvSpPr>
        <xdr:cNvPr id="61" name="Straight Connector 20"/>
        <xdr:cNvSpPr>
          <a:spLocks/>
        </xdr:cNvSpPr>
      </xdr:nvSpPr>
      <xdr:spPr>
        <a:xfrm>
          <a:off x="1838325" y="7010400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85725</xdr:colOff>
      <xdr:row>34</xdr:row>
      <xdr:rowOff>161925</xdr:rowOff>
    </xdr:from>
    <xdr:to>
      <xdr:col>5</xdr:col>
      <xdr:colOff>152400</xdr:colOff>
      <xdr:row>35</xdr:row>
      <xdr:rowOff>57150</xdr:rowOff>
    </xdr:to>
    <xdr:sp>
      <xdr:nvSpPr>
        <xdr:cNvPr id="62" name="Straight Connector 25"/>
        <xdr:cNvSpPr>
          <a:spLocks/>
        </xdr:cNvSpPr>
      </xdr:nvSpPr>
      <xdr:spPr>
        <a:xfrm flipV="1">
          <a:off x="1800225" y="6962775"/>
          <a:ext cx="66675" cy="952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257175</xdr:colOff>
      <xdr:row>34</xdr:row>
      <xdr:rowOff>161925</xdr:rowOff>
    </xdr:from>
    <xdr:to>
      <xdr:col>6</xdr:col>
      <xdr:colOff>314325</xdr:colOff>
      <xdr:row>35</xdr:row>
      <xdr:rowOff>57150</xdr:rowOff>
    </xdr:to>
    <xdr:sp>
      <xdr:nvSpPr>
        <xdr:cNvPr id="63" name="Straight Connector 25"/>
        <xdr:cNvSpPr>
          <a:spLocks/>
        </xdr:cNvSpPr>
      </xdr:nvSpPr>
      <xdr:spPr>
        <a:xfrm flipV="1">
          <a:off x="2314575" y="6962775"/>
          <a:ext cx="57150" cy="952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 editAs="oneCell">
    <xdr:from>
      <xdr:col>0</xdr:col>
      <xdr:colOff>276225</xdr:colOff>
      <xdr:row>58</xdr:row>
      <xdr:rowOff>0</xdr:rowOff>
    </xdr:from>
    <xdr:to>
      <xdr:col>7</xdr:col>
      <xdr:colOff>76200</xdr:colOff>
      <xdr:row>65</xdr:row>
      <xdr:rowOff>57150</xdr:rowOff>
    </xdr:to>
    <xdr:pic>
      <xdr:nvPicPr>
        <xdr:cNvPr id="64" name="Picture 3"/>
        <xdr:cNvPicPr preferRelativeResize="1">
          <a:picLocks noChangeAspect="1"/>
        </xdr:cNvPicPr>
      </xdr:nvPicPr>
      <xdr:blipFill>
        <a:blip r:embed="rId1"/>
        <a:srcRect l="22764" t="18557" r="22941" b="17440"/>
        <a:stretch>
          <a:fillRect/>
        </a:stretch>
      </xdr:blipFill>
      <xdr:spPr>
        <a:xfrm>
          <a:off x="276225" y="11601450"/>
          <a:ext cx="220027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66675</xdr:colOff>
      <xdr:row>57</xdr:row>
      <xdr:rowOff>161925</xdr:rowOff>
    </xdr:from>
    <xdr:to>
      <xdr:col>5</xdr:col>
      <xdr:colOff>38100</xdr:colOff>
      <xdr:row>58</xdr:row>
      <xdr:rowOff>180975</xdr:rowOff>
    </xdr:to>
    <xdr:sp>
      <xdr:nvSpPr>
        <xdr:cNvPr id="65" name="Curved Down Arrow 40"/>
        <xdr:cNvSpPr>
          <a:spLocks/>
        </xdr:cNvSpPr>
      </xdr:nvSpPr>
      <xdr:spPr>
        <a:xfrm>
          <a:off x="1095375" y="11563350"/>
          <a:ext cx="657225" cy="219075"/>
        </a:xfrm>
        <a:prstGeom prst="curvedDownArrow">
          <a:avLst>
            <a:gd name="adj1" fmla="val 33648"/>
            <a:gd name="adj2" fmla="val 45916"/>
            <a:gd name="adj3" fmla="val 25000"/>
          </a:avLst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28575</xdr:colOff>
      <xdr:row>57</xdr:row>
      <xdr:rowOff>142875</xdr:rowOff>
    </xdr:from>
    <xdr:to>
      <xdr:col>5</xdr:col>
      <xdr:colOff>285750</xdr:colOff>
      <xdr:row>58</xdr:row>
      <xdr:rowOff>161925</xdr:rowOff>
    </xdr:to>
    <xdr:sp>
      <xdr:nvSpPr>
        <xdr:cNvPr id="66" name="TextBox 79"/>
        <xdr:cNvSpPr txBox="1">
          <a:spLocks noChangeArrowheads="1"/>
        </xdr:cNvSpPr>
      </xdr:nvSpPr>
      <xdr:spPr>
        <a:xfrm>
          <a:off x="1743075" y="11544300"/>
          <a:ext cx="257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</a:t>
          </a:r>
        </a:p>
      </xdr:txBody>
    </xdr:sp>
    <xdr:clientData/>
  </xdr:twoCellAnchor>
  <xdr:twoCellAnchor>
    <xdr:from>
      <xdr:col>4</xdr:col>
      <xdr:colOff>228600</xdr:colOff>
      <xdr:row>63</xdr:row>
      <xdr:rowOff>104775</xdr:rowOff>
    </xdr:from>
    <xdr:to>
      <xdr:col>5</xdr:col>
      <xdr:colOff>38100</xdr:colOff>
      <xdr:row>65</xdr:row>
      <xdr:rowOff>28575</xdr:rowOff>
    </xdr:to>
    <xdr:sp>
      <xdr:nvSpPr>
        <xdr:cNvPr id="67" name="Right Arrow 185"/>
        <xdr:cNvSpPr>
          <a:spLocks/>
        </xdr:cNvSpPr>
      </xdr:nvSpPr>
      <xdr:spPr>
        <a:xfrm rot="5400000">
          <a:off x="1600200" y="12706350"/>
          <a:ext cx="152400" cy="323850"/>
        </a:xfrm>
        <a:prstGeom prst="rightArrow">
          <a:avLst>
            <a:gd name="adj" fmla="val 28106"/>
          </a:avLst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285750</xdr:colOff>
      <xdr:row>62</xdr:row>
      <xdr:rowOff>66675</xdr:rowOff>
    </xdr:from>
    <xdr:to>
      <xdr:col>3</xdr:col>
      <xdr:colOff>95250</xdr:colOff>
      <xdr:row>63</xdr:row>
      <xdr:rowOff>190500</xdr:rowOff>
    </xdr:to>
    <xdr:sp>
      <xdr:nvSpPr>
        <xdr:cNvPr id="68" name="Right Arrow 185"/>
        <xdr:cNvSpPr>
          <a:spLocks/>
        </xdr:cNvSpPr>
      </xdr:nvSpPr>
      <xdr:spPr>
        <a:xfrm rot="16200000" flipV="1">
          <a:off x="971550" y="12468225"/>
          <a:ext cx="152400" cy="323850"/>
        </a:xfrm>
        <a:prstGeom prst="rightArrow">
          <a:avLst>
            <a:gd name="adj" fmla="val 28254"/>
          </a:avLst>
        </a:prstGeom>
        <a:solidFill>
          <a:srgbClr val="C0504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3</xdr:col>
      <xdr:colOff>47625</xdr:colOff>
      <xdr:row>63</xdr:row>
      <xdr:rowOff>114300</xdr:rowOff>
    </xdr:from>
    <xdr:to>
      <xdr:col>4</xdr:col>
      <xdr:colOff>247650</xdr:colOff>
      <xdr:row>63</xdr:row>
      <xdr:rowOff>190500</xdr:rowOff>
    </xdr:to>
    <xdr:sp>
      <xdr:nvSpPr>
        <xdr:cNvPr id="69" name="Rectangle 2"/>
        <xdr:cNvSpPr>
          <a:spLocks/>
        </xdr:cNvSpPr>
      </xdr:nvSpPr>
      <xdr:spPr>
        <a:xfrm>
          <a:off x="1076325" y="12715875"/>
          <a:ext cx="542925" cy="76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95250</xdr:colOff>
      <xdr:row>50</xdr:row>
      <xdr:rowOff>0</xdr:rowOff>
    </xdr:from>
    <xdr:to>
      <xdr:col>7</xdr:col>
      <xdr:colOff>19050</xdr:colOff>
      <xdr:row>50</xdr:row>
      <xdr:rowOff>0</xdr:rowOff>
    </xdr:to>
    <xdr:sp>
      <xdr:nvSpPr>
        <xdr:cNvPr id="70" name="Straight Connector 20"/>
        <xdr:cNvSpPr>
          <a:spLocks/>
        </xdr:cNvSpPr>
      </xdr:nvSpPr>
      <xdr:spPr>
        <a:xfrm>
          <a:off x="781050" y="10001250"/>
          <a:ext cx="1638300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7</xdr:col>
      <xdr:colOff>9525</xdr:colOff>
      <xdr:row>49</xdr:row>
      <xdr:rowOff>142875</xdr:rowOff>
    </xdr:from>
    <xdr:to>
      <xdr:col>7</xdr:col>
      <xdr:colOff>9525</xdr:colOff>
      <xdr:row>50</xdr:row>
      <xdr:rowOff>76200</xdr:rowOff>
    </xdr:to>
    <xdr:sp>
      <xdr:nvSpPr>
        <xdr:cNvPr id="71" name="Straight Connector 25"/>
        <xdr:cNvSpPr>
          <a:spLocks/>
        </xdr:cNvSpPr>
      </xdr:nvSpPr>
      <xdr:spPr>
        <a:xfrm flipV="1">
          <a:off x="2409825" y="9944100"/>
          <a:ext cx="0" cy="133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95250</xdr:colOff>
      <xdr:row>49</xdr:row>
      <xdr:rowOff>142875</xdr:rowOff>
    </xdr:from>
    <xdr:to>
      <xdr:col>2</xdr:col>
      <xdr:colOff>95250</xdr:colOff>
      <xdr:row>50</xdr:row>
      <xdr:rowOff>76200</xdr:rowOff>
    </xdr:to>
    <xdr:sp>
      <xdr:nvSpPr>
        <xdr:cNvPr id="72" name="Straight Connector 25"/>
        <xdr:cNvSpPr>
          <a:spLocks/>
        </xdr:cNvSpPr>
      </xdr:nvSpPr>
      <xdr:spPr>
        <a:xfrm flipV="1">
          <a:off x="781050" y="9944100"/>
          <a:ext cx="0" cy="1333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323850</xdr:colOff>
      <xdr:row>49</xdr:row>
      <xdr:rowOff>161925</xdr:rowOff>
    </xdr:from>
    <xdr:to>
      <xdr:col>7</xdr:col>
      <xdr:colOff>28575</xdr:colOff>
      <xdr:row>50</xdr:row>
      <xdr:rowOff>66675</xdr:rowOff>
    </xdr:to>
    <xdr:sp>
      <xdr:nvSpPr>
        <xdr:cNvPr id="73" name="Straight Connector 2"/>
        <xdr:cNvSpPr>
          <a:spLocks/>
        </xdr:cNvSpPr>
      </xdr:nvSpPr>
      <xdr:spPr>
        <a:xfrm flipH="1" flipV="1">
          <a:off x="2381250" y="9963150"/>
          <a:ext cx="47625" cy="104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2</xdr:col>
      <xdr:colOff>76200</xdr:colOff>
      <xdr:row>49</xdr:row>
      <xdr:rowOff>152400</xdr:rowOff>
    </xdr:from>
    <xdr:to>
      <xdr:col>2</xdr:col>
      <xdr:colOff>123825</xdr:colOff>
      <xdr:row>50</xdr:row>
      <xdr:rowOff>57150</xdr:rowOff>
    </xdr:to>
    <xdr:sp>
      <xdr:nvSpPr>
        <xdr:cNvPr id="74" name="Straight Connector 2"/>
        <xdr:cNvSpPr>
          <a:spLocks/>
        </xdr:cNvSpPr>
      </xdr:nvSpPr>
      <xdr:spPr>
        <a:xfrm flipH="1" flipV="1">
          <a:off x="762000" y="9953625"/>
          <a:ext cx="47625" cy="1047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114300</xdr:colOff>
      <xdr:row>34</xdr:row>
      <xdr:rowOff>123825</xdr:rowOff>
    </xdr:from>
    <xdr:to>
      <xdr:col>5</xdr:col>
      <xdr:colOff>114300</xdr:colOff>
      <xdr:row>40</xdr:row>
      <xdr:rowOff>57150</xdr:rowOff>
    </xdr:to>
    <xdr:sp>
      <xdr:nvSpPr>
        <xdr:cNvPr id="75" name="Straight Connector 39"/>
        <xdr:cNvSpPr>
          <a:spLocks/>
        </xdr:cNvSpPr>
      </xdr:nvSpPr>
      <xdr:spPr>
        <a:xfrm flipH="1">
          <a:off x="1828800" y="6924675"/>
          <a:ext cx="0" cy="1133475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6</xdr:col>
      <xdr:colOff>285750</xdr:colOff>
      <xdr:row>34</xdr:row>
      <xdr:rowOff>123825</xdr:rowOff>
    </xdr:from>
    <xdr:to>
      <xdr:col>6</xdr:col>
      <xdr:colOff>295275</xdr:colOff>
      <xdr:row>40</xdr:row>
      <xdr:rowOff>57150</xdr:rowOff>
    </xdr:to>
    <xdr:sp>
      <xdr:nvSpPr>
        <xdr:cNvPr id="76" name="Straight Connector 39"/>
        <xdr:cNvSpPr>
          <a:spLocks/>
        </xdr:cNvSpPr>
      </xdr:nvSpPr>
      <xdr:spPr>
        <a:xfrm flipH="1">
          <a:off x="2343150" y="6924675"/>
          <a:ext cx="9525" cy="1133475"/>
        </a:xfrm>
        <a:prstGeom prst="line">
          <a:avLst/>
        </a:prstGeom>
        <a:noFill/>
        <a:ln w="1270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oleObject" Target="../embeddings/oleObject_0_4.bin" /><Relationship Id="rId7" Type="http://schemas.openxmlformats.org/officeDocument/2006/relationships/oleObject" Target="../embeddings/oleObject_0_5.bin" /><Relationship Id="rId8" Type="http://schemas.openxmlformats.org/officeDocument/2006/relationships/oleObject" Target="../embeddings/oleObject_0_6.bin" /><Relationship Id="rId9" Type="http://schemas.openxmlformats.org/officeDocument/2006/relationships/oleObject" Target="../embeddings/oleObject_0_7.bin" /><Relationship Id="rId10" Type="http://schemas.openxmlformats.org/officeDocument/2006/relationships/oleObject" Target="../embeddings/oleObject_0_8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W805"/>
  <sheetViews>
    <sheetView tabSelected="1" zoomScale="85" zoomScaleNormal="85" zoomScalePageLayoutView="0" workbookViewId="0" topLeftCell="A1">
      <selection activeCell="M79" sqref="M79"/>
    </sheetView>
  </sheetViews>
  <sheetFormatPr defaultColWidth="9.140625" defaultRowHeight="21.75"/>
  <cols>
    <col min="1" max="7" width="5.140625" style="29" customWidth="1"/>
    <col min="8" max="8" width="6.28125" style="29" customWidth="1"/>
    <col min="9" max="16" width="5.140625" style="29" customWidth="1"/>
    <col min="17" max="17" width="5.28125" style="29" customWidth="1"/>
    <col min="18" max="18" width="4.00390625" style="29" customWidth="1"/>
    <col min="19" max="19" width="5.57421875" style="29" customWidth="1"/>
    <col min="20" max="20" width="7.421875" style="29" customWidth="1"/>
    <col min="21" max="65" width="5.140625" style="29" customWidth="1"/>
    <col min="66" max="92" width="4.57421875" style="29" customWidth="1"/>
    <col min="93" max="16384" width="9.140625" style="29" customWidth="1"/>
  </cols>
  <sheetData>
    <row r="1" spans="1:75" ht="15.75" customHeight="1">
      <c r="A1" s="180" t="s">
        <v>160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2"/>
      <c r="AO1" s="192" t="s">
        <v>76</v>
      </c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4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ht="15.75" customHeight="1">
      <c r="A2" s="44" t="s">
        <v>75</v>
      </c>
      <c r="B2" s="34"/>
      <c r="C2" s="44" t="s">
        <v>203</v>
      </c>
      <c r="E2" s="34"/>
      <c r="F2" s="44"/>
      <c r="G2" s="44"/>
      <c r="H2" s="34"/>
      <c r="I2" s="28"/>
      <c r="J2" s="28"/>
      <c r="K2" s="28"/>
      <c r="L2" s="28"/>
      <c r="M2" s="26"/>
      <c r="N2" s="44" t="s">
        <v>77</v>
      </c>
      <c r="P2" s="45"/>
      <c r="Q2" s="46"/>
      <c r="R2" s="47"/>
      <c r="S2" s="79"/>
      <c r="AO2" s="195" t="s">
        <v>19</v>
      </c>
      <c r="AP2" s="196"/>
      <c r="AQ2" s="197"/>
      <c r="AR2" s="6" t="s">
        <v>27</v>
      </c>
      <c r="AS2" s="6" t="s">
        <v>14</v>
      </c>
      <c r="AT2" s="6" t="s">
        <v>28</v>
      </c>
      <c r="AU2" s="6" t="s">
        <v>55</v>
      </c>
      <c r="AV2" s="6" t="s">
        <v>29</v>
      </c>
      <c r="AW2" s="6" t="s">
        <v>54</v>
      </c>
      <c r="AX2" s="6" t="s">
        <v>30</v>
      </c>
      <c r="AY2" s="6" t="s">
        <v>68</v>
      </c>
      <c r="AZ2" s="6" t="s">
        <v>31</v>
      </c>
      <c r="BA2" s="6" t="s">
        <v>32</v>
      </c>
      <c r="BB2" s="6" t="s">
        <v>33</v>
      </c>
      <c r="BC2" s="6" t="s">
        <v>34</v>
      </c>
      <c r="BD2" s="6" t="s">
        <v>69</v>
      </c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</row>
    <row r="3" spans="1:75" ht="15.75" customHeight="1">
      <c r="A3" s="44" t="s">
        <v>6</v>
      </c>
      <c r="B3" s="34"/>
      <c r="C3" s="44" t="s">
        <v>146</v>
      </c>
      <c r="E3" s="44"/>
      <c r="F3" s="44"/>
      <c r="G3" s="44"/>
      <c r="H3" s="44"/>
      <c r="I3" s="44"/>
      <c r="J3" s="28"/>
      <c r="K3" s="28"/>
      <c r="L3" s="28"/>
      <c r="M3" s="26"/>
      <c r="N3" s="44" t="s">
        <v>18</v>
      </c>
      <c r="P3" s="48"/>
      <c r="Q3" s="49"/>
      <c r="R3" s="50"/>
      <c r="S3" s="80"/>
      <c r="V3" s="89"/>
      <c r="W3" s="89"/>
      <c r="X3" s="89"/>
      <c r="Y3" s="89"/>
      <c r="Z3" s="89"/>
      <c r="AA3" s="89"/>
      <c r="AO3" s="198"/>
      <c r="AP3" s="199"/>
      <c r="AQ3" s="200"/>
      <c r="AR3" s="6" t="s">
        <v>35</v>
      </c>
      <c r="AS3" s="6" t="s">
        <v>2</v>
      </c>
      <c r="AT3" s="6" t="s">
        <v>36</v>
      </c>
      <c r="AU3" s="6" t="s">
        <v>36</v>
      </c>
      <c r="AV3" s="6" t="s">
        <v>15</v>
      </c>
      <c r="AW3" s="6" t="s">
        <v>15</v>
      </c>
      <c r="AX3" s="6" t="s">
        <v>37</v>
      </c>
      <c r="AY3" s="6" t="s">
        <v>37</v>
      </c>
      <c r="AZ3" s="6" t="s">
        <v>16</v>
      </c>
      <c r="BA3" s="6" t="s">
        <v>16</v>
      </c>
      <c r="BB3" s="6" t="s">
        <v>16</v>
      </c>
      <c r="BC3" s="6" t="s">
        <v>16</v>
      </c>
      <c r="BD3" s="6" t="s">
        <v>16</v>
      </c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</row>
    <row r="4" spans="1:75" ht="15.75" customHeight="1">
      <c r="A4" s="44" t="s">
        <v>74</v>
      </c>
      <c r="B4" s="44"/>
      <c r="C4" s="44" t="s">
        <v>190</v>
      </c>
      <c r="E4" s="44"/>
      <c r="F4" s="44"/>
      <c r="G4" s="44"/>
      <c r="H4" s="44"/>
      <c r="I4" s="44"/>
      <c r="J4" s="28"/>
      <c r="K4" s="28"/>
      <c r="L4" s="28"/>
      <c r="M4" s="26"/>
      <c r="N4" s="44" t="s">
        <v>73</v>
      </c>
      <c r="P4" s="51" t="s">
        <v>191</v>
      </c>
      <c r="S4" s="81"/>
      <c r="AO4" s="9" t="s">
        <v>58</v>
      </c>
      <c r="AP4" s="12"/>
      <c r="AQ4" s="13"/>
      <c r="AR4" s="8">
        <v>11.85</v>
      </c>
      <c r="AS4" s="5">
        <v>9.3</v>
      </c>
      <c r="AT4" s="5">
        <v>187</v>
      </c>
      <c r="AU4" s="5">
        <v>14.8</v>
      </c>
      <c r="AV4" s="5">
        <v>3.98</v>
      </c>
      <c r="AW4" s="5">
        <v>1.12</v>
      </c>
      <c r="AX4" s="5">
        <v>37.5</v>
      </c>
      <c r="AY4" s="5">
        <v>5.91</v>
      </c>
      <c r="AZ4" s="5">
        <v>100</v>
      </c>
      <c r="BA4" s="5">
        <v>50</v>
      </c>
      <c r="BB4" s="5">
        <v>7</v>
      </c>
      <c r="BC4" s="5">
        <v>5</v>
      </c>
      <c r="BD4" s="5">
        <v>8</v>
      </c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</row>
    <row r="5" spans="1:75" ht="15.75" customHeight="1" thickBo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AO5" s="9" t="s">
        <v>70</v>
      </c>
      <c r="AP5" s="12"/>
      <c r="AQ5" s="13"/>
      <c r="AR5" s="8">
        <v>21.9</v>
      </c>
      <c r="AS5" s="5">
        <v>17.2</v>
      </c>
      <c r="AT5" s="5">
        <v>383</v>
      </c>
      <c r="AU5" s="5">
        <v>134</v>
      </c>
      <c r="AV5" s="5">
        <v>4.18</v>
      </c>
      <c r="AW5" s="5">
        <v>2.47</v>
      </c>
      <c r="AX5" s="5">
        <v>76.5</v>
      </c>
      <c r="AY5" s="5">
        <v>26.7</v>
      </c>
      <c r="AZ5" s="5">
        <v>100</v>
      </c>
      <c r="BA5" s="5">
        <v>100</v>
      </c>
      <c r="BB5" s="5">
        <v>8</v>
      </c>
      <c r="BC5" s="5">
        <v>6</v>
      </c>
      <c r="BD5" s="5">
        <v>10</v>
      </c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</row>
    <row r="6" spans="1:75" ht="15.75" customHeight="1">
      <c r="A6" s="35" t="s">
        <v>7</v>
      </c>
      <c r="B6" s="35" t="s">
        <v>8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4"/>
      <c r="Q6" s="54"/>
      <c r="R6" s="55"/>
      <c r="S6" s="82"/>
      <c r="U6" s="129" t="s">
        <v>141</v>
      </c>
      <c r="V6" s="130"/>
      <c r="W6" s="131"/>
      <c r="X6" s="131"/>
      <c r="Y6" s="131"/>
      <c r="Z6" s="131"/>
      <c r="AA6" s="130"/>
      <c r="AB6" s="131"/>
      <c r="AC6" s="131"/>
      <c r="AD6" s="132"/>
      <c r="AO6" s="9" t="s">
        <v>59</v>
      </c>
      <c r="AP6" s="12"/>
      <c r="AQ6" s="13"/>
      <c r="AR6" s="5">
        <v>16.84</v>
      </c>
      <c r="AS6" s="5">
        <v>13.2</v>
      </c>
      <c r="AT6" s="5">
        <v>413</v>
      </c>
      <c r="AU6" s="5">
        <v>29.2</v>
      </c>
      <c r="AV6" s="5">
        <v>4.95</v>
      </c>
      <c r="AW6" s="5">
        <v>1.32</v>
      </c>
      <c r="AX6" s="5">
        <v>66.1</v>
      </c>
      <c r="AY6" s="5">
        <v>9.73</v>
      </c>
      <c r="AZ6" s="5">
        <v>125</v>
      </c>
      <c r="BA6" s="5">
        <v>60</v>
      </c>
      <c r="BB6" s="5">
        <v>8</v>
      </c>
      <c r="BC6" s="5">
        <v>6</v>
      </c>
      <c r="BD6" s="5">
        <v>9</v>
      </c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</row>
    <row r="7" spans="2:75" ht="15.75" customHeight="1">
      <c r="B7" s="28" t="s">
        <v>204</v>
      </c>
      <c r="D7" s="28"/>
      <c r="E7" s="28"/>
      <c r="F7" s="28"/>
      <c r="G7" s="28"/>
      <c r="H7" s="28"/>
      <c r="I7" s="28"/>
      <c r="J7" s="28"/>
      <c r="K7" s="28"/>
      <c r="L7" s="28"/>
      <c r="M7" s="26" t="s">
        <v>0</v>
      </c>
      <c r="O7" s="28"/>
      <c r="P7" s="28"/>
      <c r="Q7" s="28">
        <v>2450</v>
      </c>
      <c r="R7" s="37" t="s">
        <v>1</v>
      </c>
      <c r="U7" s="133" t="s">
        <v>142</v>
      </c>
      <c r="V7" s="102"/>
      <c r="W7" s="31"/>
      <c r="X7" s="36"/>
      <c r="Y7" s="36"/>
      <c r="Z7" s="104"/>
      <c r="AA7" s="104"/>
      <c r="AB7" s="104"/>
      <c r="AC7" s="104"/>
      <c r="AD7" s="134"/>
      <c r="AO7" s="9" t="s">
        <v>71</v>
      </c>
      <c r="AP7" s="12"/>
      <c r="AQ7" s="13"/>
      <c r="AR7" s="5">
        <v>30.31</v>
      </c>
      <c r="AS7" s="5">
        <v>23.8</v>
      </c>
      <c r="AT7" s="5">
        <v>847</v>
      </c>
      <c r="AU7" s="5">
        <v>293</v>
      </c>
      <c r="AV7" s="5">
        <v>5.29</v>
      </c>
      <c r="AW7" s="5">
        <v>3.11</v>
      </c>
      <c r="AX7" s="5">
        <v>136</v>
      </c>
      <c r="AY7" s="5">
        <v>47</v>
      </c>
      <c r="AZ7" s="5">
        <v>125</v>
      </c>
      <c r="BA7" s="5">
        <v>125</v>
      </c>
      <c r="BB7" s="5">
        <v>9</v>
      </c>
      <c r="BC7" s="5">
        <v>6.5</v>
      </c>
      <c r="BD7" s="5">
        <v>10</v>
      </c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</row>
    <row r="8" spans="2:75" ht="15.75" customHeight="1">
      <c r="B8" s="28" t="s">
        <v>13</v>
      </c>
      <c r="D8" s="28"/>
      <c r="E8" s="28"/>
      <c r="F8" s="28"/>
      <c r="G8" s="28"/>
      <c r="H8" s="28"/>
      <c r="I8" s="28"/>
      <c r="J8" s="28"/>
      <c r="K8" s="28"/>
      <c r="L8" s="28"/>
      <c r="M8" s="26" t="s">
        <v>0</v>
      </c>
      <c r="O8" s="28"/>
      <c r="P8" s="28"/>
      <c r="Q8" s="28">
        <v>4000</v>
      </c>
      <c r="R8" s="37" t="s">
        <v>1</v>
      </c>
      <c r="U8" s="135">
        <v>1</v>
      </c>
      <c r="V8" s="96" t="s">
        <v>143</v>
      </c>
      <c r="W8" s="31"/>
      <c r="X8" s="25"/>
      <c r="Y8" s="70"/>
      <c r="Z8" s="96"/>
      <c r="AA8" s="25"/>
      <c r="AB8" s="70"/>
      <c r="AC8" s="101">
        <f>Q10*0.25</f>
        <v>60</v>
      </c>
      <c r="AD8" s="136" t="s">
        <v>1</v>
      </c>
      <c r="AO8" s="9" t="s">
        <v>26</v>
      </c>
      <c r="AP8" s="12"/>
      <c r="AQ8" s="13"/>
      <c r="AR8" s="5">
        <v>17.85</v>
      </c>
      <c r="AS8" s="5">
        <v>14</v>
      </c>
      <c r="AT8" s="5">
        <v>666</v>
      </c>
      <c r="AU8" s="5">
        <v>49.5</v>
      </c>
      <c r="AV8" s="5">
        <v>6.11</v>
      </c>
      <c r="AW8" s="5">
        <v>1.66</v>
      </c>
      <c r="AX8" s="5">
        <v>88.8</v>
      </c>
      <c r="AY8" s="5">
        <v>13.2</v>
      </c>
      <c r="AZ8" s="5">
        <v>150</v>
      </c>
      <c r="BA8" s="5">
        <v>75</v>
      </c>
      <c r="BB8" s="5">
        <v>7</v>
      </c>
      <c r="BC8" s="5">
        <v>5</v>
      </c>
      <c r="BD8" s="5">
        <v>8</v>
      </c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</row>
    <row r="9" spans="2:75" ht="15.75" customHeight="1">
      <c r="B9" s="28" t="s">
        <v>12</v>
      </c>
      <c r="D9" s="28"/>
      <c r="E9" s="28"/>
      <c r="F9" s="28"/>
      <c r="G9" s="28"/>
      <c r="H9" s="28"/>
      <c r="I9" s="28"/>
      <c r="J9" s="28"/>
      <c r="K9" s="28"/>
      <c r="L9" s="28"/>
      <c r="M9" s="26" t="s">
        <v>0</v>
      </c>
      <c r="O9" s="28"/>
      <c r="P9" s="183">
        <v>2040000</v>
      </c>
      <c r="Q9" s="183"/>
      <c r="R9" s="37" t="s">
        <v>1</v>
      </c>
      <c r="U9" s="137">
        <v>2</v>
      </c>
      <c r="V9" s="31" t="s">
        <v>144</v>
      </c>
      <c r="W9" s="31"/>
      <c r="X9" s="31"/>
      <c r="Y9" s="102"/>
      <c r="Z9" s="103" t="s">
        <v>145</v>
      </c>
      <c r="AA9" s="31"/>
      <c r="AB9" s="102"/>
      <c r="AC9" s="69">
        <f>Q10*0.37</f>
        <v>88.8</v>
      </c>
      <c r="AD9" s="136" t="s">
        <v>1</v>
      </c>
      <c r="AO9" s="9" t="s">
        <v>60</v>
      </c>
      <c r="AP9" s="12"/>
      <c r="AQ9" s="13"/>
      <c r="AR9" s="5">
        <v>26.84</v>
      </c>
      <c r="AS9" s="5">
        <v>21.1</v>
      </c>
      <c r="AT9" s="5">
        <v>1020</v>
      </c>
      <c r="AU9" s="5">
        <v>151</v>
      </c>
      <c r="AV9" s="5">
        <v>6.17</v>
      </c>
      <c r="AW9" s="5">
        <v>2.37</v>
      </c>
      <c r="AX9" s="5">
        <v>138</v>
      </c>
      <c r="AY9" s="5">
        <v>30.1</v>
      </c>
      <c r="AZ9" s="5">
        <v>150</v>
      </c>
      <c r="BA9" s="5">
        <v>100</v>
      </c>
      <c r="BB9" s="5">
        <v>9</v>
      </c>
      <c r="BC9" s="5">
        <v>6</v>
      </c>
      <c r="BD9" s="5">
        <v>11</v>
      </c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</row>
    <row r="10" spans="2:75" ht="15.75" customHeight="1" thickBot="1">
      <c r="B10" s="29" t="s">
        <v>84</v>
      </c>
      <c r="H10" s="28"/>
      <c r="I10" s="28"/>
      <c r="J10" s="28"/>
      <c r="K10" s="28"/>
      <c r="L10" s="28"/>
      <c r="M10" s="26" t="s">
        <v>0</v>
      </c>
      <c r="O10" s="28"/>
      <c r="P10" s="57"/>
      <c r="Q10" s="118">
        <v>240</v>
      </c>
      <c r="R10" s="37" t="s">
        <v>1</v>
      </c>
      <c r="U10" s="138"/>
      <c r="V10" s="139"/>
      <c r="W10" s="139"/>
      <c r="X10" s="139"/>
      <c r="Y10" s="140"/>
      <c r="Z10" s="139"/>
      <c r="AA10" s="139"/>
      <c r="AB10" s="140"/>
      <c r="AC10" s="139"/>
      <c r="AD10" s="141"/>
      <c r="AO10" s="9" t="s">
        <v>57</v>
      </c>
      <c r="AP10" s="12"/>
      <c r="AQ10" s="13"/>
      <c r="AR10" s="5">
        <v>40.14</v>
      </c>
      <c r="AS10" s="5">
        <v>31.5</v>
      </c>
      <c r="AT10" s="5">
        <v>1640</v>
      </c>
      <c r="AU10" s="5">
        <v>563</v>
      </c>
      <c r="AV10" s="5">
        <v>6.39</v>
      </c>
      <c r="AW10" s="5">
        <v>3.75</v>
      </c>
      <c r="AX10" s="5">
        <v>219</v>
      </c>
      <c r="AY10" s="5">
        <v>75.1</v>
      </c>
      <c r="AZ10" s="5">
        <v>150</v>
      </c>
      <c r="BA10" s="5">
        <v>150</v>
      </c>
      <c r="BB10" s="5">
        <v>10</v>
      </c>
      <c r="BC10" s="5">
        <v>7</v>
      </c>
      <c r="BD10" s="5">
        <v>11</v>
      </c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</row>
    <row r="11" spans="1:75" ht="15.75" customHeight="1">
      <c r="A11" s="36" t="s">
        <v>9</v>
      </c>
      <c r="B11" s="36" t="s">
        <v>134</v>
      </c>
      <c r="C11" s="36"/>
      <c r="D11" s="36"/>
      <c r="E11" s="26"/>
      <c r="F11" s="28"/>
      <c r="G11" s="26"/>
      <c r="H11" s="26" t="s">
        <v>0</v>
      </c>
      <c r="I11" s="28"/>
      <c r="J11" s="28"/>
      <c r="K11" s="28" t="s">
        <v>135</v>
      </c>
      <c r="L11" s="26"/>
      <c r="M11" s="26" t="s">
        <v>0</v>
      </c>
      <c r="O11" s="28"/>
      <c r="P11" s="57"/>
      <c r="Q11" s="118">
        <f>50*1000</f>
        <v>50000</v>
      </c>
      <c r="R11" s="37" t="s">
        <v>5</v>
      </c>
      <c r="U11" s="30"/>
      <c r="AO11" s="9" t="s">
        <v>72</v>
      </c>
      <c r="AP11" s="12"/>
      <c r="AQ11" s="13"/>
      <c r="AR11" s="5">
        <v>51.21</v>
      </c>
      <c r="AS11" s="5">
        <v>40.2</v>
      </c>
      <c r="AT11" s="5">
        <v>2880</v>
      </c>
      <c r="AU11" s="5">
        <v>984</v>
      </c>
      <c r="AV11" s="5">
        <v>7.5</v>
      </c>
      <c r="AW11" s="5">
        <v>4.38</v>
      </c>
      <c r="AX11" s="5">
        <v>330</v>
      </c>
      <c r="AY11" s="5">
        <v>112</v>
      </c>
      <c r="AZ11" s="5">
        <v>175</v>
      </c>
      <c r="BA11" s="5">
        <v>175</v>
      </c>
      <c r="BB11" s="5">
        <v>11</v>
      </c>
      <c r="BC11" s="5">
        <v>7.5</v>
      </c>
      <c r="BD11" s="5">
        <v>12</v>
      </c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</row>
    <row r="12" spans="1:75" ht="15.75" customHeight="1">
      <c r="A12" s="36"/>
      <c r="B12" s="36"/>
      <c r="C12" s="36"/>
      <c r="D12" s="36"/>
      <c r="E12" s="26"/>
      <c r="F12" s="28"/>
      <c r="G12" s="26"/>
      <c r="H12" s="26" t="s">
        <v>0</v>
      </c>
      <c r="I12" s="28"/>
      <c r="J12" s="28"/>
      <c r="K12" s="28" t="s">
        <v>136</v>
      </c>
      <c r="L12" s="28"/>
      <c r="M12" s="26" t="s">
        <v>0</v>
      </c>
      <c r="O12" s="28"/>
      <c r="P12" s="57"/>
      <c r="Q12" s="118">
        <f>10*1000</f>
        <v>10000</v>
      </c>
      <c r="R12" s="37" t="s">
        <v>4</v>
      </c>
      <c r="T12" s="95">
        <f>Q12*100</f>
        <v>1000000</v>
      </c>
      <c r="U12" s="37" t="s">
        <v>25</v>
      </c>
      <c r="AO12" s="9" t="s">
        <v>38</v>
      </c>
      <c r="AP12" s="12"/>
      <c r="AQ12" s="13"/>
      <c r="AR12" s="5">
        <v>27.16</v>
      </c>
      <c r="AS12" s="5">
        <v>21.3</v>
      </c>
      <c r="AT12" s="5">
        <v>1840</v>
      </c>
      <c r="AU12" s="5">
        <v>134</v>
      </c>
      <c r="AV12" s="5">
        <v>8.24</v>
      </c>
      <c r="AW12" s="5">
        <v>2.22</v>
      </c>
      <c r="AX12" s="5">
        <v>184</v>
      </c>
      <c r="AY12" s="5">
        <v>26.8</v>
      </c>
      <c r="AZ12" s="5">
        <v>200</v>
      </c>
      <c r="BA12" s="5">
        <v>100</v>
      </c>
      <c r="BB12" s="5">
        <v>8</v>
      </c>
      <c r="BC12" s="5">
        <v>5.5</v>
      </c>
      <c r="BD12" s="5">
        <v>11</v>
      </c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</row>
    <row r="13" spans="1:56" s="28" customFormat="1" ht="15.75" customHeight="1">
      <c r="A13" s="36" t="s">
        <v>10</v>
      </c>
      <c r="B13" s="158" t="s">
        <v>17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58"/>
      <c r="S13" s="36"/>
      <c r="T13" s="35"/>
      <c r="U13" s="59"/>
      <c r="V13" s="37"/>
      <c r="W13" s="56"/>
      <c r="X13" s="26"/>
      <c r="Y13" s="26"/>
      <c r="Z13" s="35"/>
      <c r="AA13" s="37"/>
      <c r="AB13" s="56"/>
      <c r="AC13" s="26"/>
      <c r="AD13" s="26"/>
      <c r="AO13" s="9" t="s">
        <v>61</v>
      </c>
      <c r="AP13" s="12"/>
      <c r="AQ13" s="13"/>
      <c r="AR13" s="5">
        <v>39.01</v>
      </c>
      <c r="AS13" s="5">
        <v>30.6</v>
      </c>
      <c r="AT13" s="5">
        <v>2690</v>
      </c>
      <c r="AU13" s="5">
        <v>507</v>
      </c>
      <c r="AV13" s="5">
        <v>8.3</v>
      </c>
      <c r="AW13" s="5">
        <v>3.61</v>
      </c>
      <c r="AX13" s="5">
        <v>277</v>
      </c>
      <c r="AY13" s="5">
        <v>67.6</v>
      </c>
      <c r="AZ13" s="5">
        <v>200</v>
      </c>
      <c r="BA13" s="5">
        <v>150</v>
      </c>
      <c r="BB13" s="5">
        <v>9</v>
      </c>
      <c r="BC13" s="5">
        <v>6</v>
      </c>
      <c r="BD13" s="5">
        <v>13</v>
      </c>
    </row>
    <row r="14" spans="1:56" s="28" customFormat="1" ht="15.75" customHeight="1">
      <c r="A14" s="36"/>
      <c r="B14" s="184" t="s">
        <v>19</v>
      </c>
      <c r="C14" s="185"/>
      <c r="D14" s="186"/>
      <c r="E14" s="60" t="s">
        <v>27</v>
      </c>
      <c r="F14" s="60" t="s">
        <v>14</v>
      </c>
      <c r="G14" s="60" t="s">
        <v>28</v>
      </c>
      <c r="H14" s="60" t="s">
        <v>55</v>
      </c>
      <c r="I14" s="60" t="s">
        <v>29</v>
      </c>
      <c r="J14" s="60" t="s">
        <v>54</v>
      </c>
      <c r="K14" s="60" t="s">
        <v>86</v>
      </c>
      <c r="L14" s="60" t="s">
        <v>87</v>
      </c>
      <c r="M14" s="60" t="s">
        <v>32</v>
      </c>
      <c r="N14" s="60" t="s">
        <v>83</v>
      </c>
      <c r="O14" s="60" t="s">
        <v>33</v>
      </c>
      <c r="P14" s="60" t="s">
        <v>34</v>
      </c>
      <c r="Q14" s="60" t="s">
        <v>69</v>
      </c>
      <c r="R14" s="61"/>
      <c r="S14" s="36"/>
      <c r="T14" s="35"/>
      <c r="Y14" s="30"/>
      <c r="AB14" s="30"/>
      <c r="AO14" s="9" t="s">
        <v>39</v>
      </c>
      <c r="AP14" s="12"/>
      <c r="AQ14" s="13"/>
      <c r="AR14" s="5">
        <v>63.53</v>
      </c>
      <c r="AS14" s="5">
        <v>49.9</v>
      </c>
      <c r="AT14" s="5">
        <v>4720</v>
      </c>
      <c r="AU14" s="5">
        <v>1600</v>
      </c>
      <c r="AV14" s="5">
        <v>8.62</v>
      </c>
      <c r="AW14" s="5">
        <v>5.02</v>
      </c>
      <c r="AX14" s="5">
        <v>472</v>
      </c>
      <c r="AY14" s="5">
        <v>160</v>
      </c>
      <c r="AZ14" s="5">
        <v>200</v>
      </c>
      <c r="BA14" s="5">
        <v>200</v>
      </c>
      <c r="BB14" s="5">
        <v>12</v>
      </c>
      <c r="BC14" s="5">
        <v>8</v>
      </c>
      <c r="BD14" s="5">
        <v>13</v>
      </c>
    </row>
    <row r="15" spans="1:56" s="28" customFormat="1" ht="15.75" customHeight="1">
      <c r="A15" s="36"/>
      <c r="B15" s="187"/>
      <c r="C15" s="188"/>
      <c r="D15" s="189"/>
      <c r="E15" s="62" t="s">
        <v>130</v>
      </c>
      <c r="F15" s="62" t="s">
        <v>2</v>
      </c>
      <c r="G15" s="62" t="s">
        <v>131</v>
      </c>
      <c r="H15" s="62" t="s">
        <v>131</v>
      </c>
      <c r="I15" s="62" t="s">
        <v>15</v>
      </c>
      <c r="J15" s="62" t="s">
        <v>15</v>
      </c>
      <c r="K15" s="62" t="s">
        <v>132</v>
      </c>
      <c r="L15" s="62" t="s">
        <v>132</v>
      </c>
      <c r="M15" s="62" t="s">
        <v>16</v>
      </c>
      <c r="N15" s="62" t="s">
        <v>16</v>
      </c>
      <c r="O15" s="62" t="s">
        <v>16</v>
      </c>
      <c r="P15" s="62" t="s">
        <v>16</v>
      </c>
      <c r="Q15" s="62" t="s">
        <v>16</v>
      </c>
      <c r="R15" s="61"/>
      <c r="S15" s="36"/>
      <c r="T15" s="35"/>
      <c r="Y15" s="30"/>
      <c r="AB15" s="30"/>
      <c r="AE15" s="29"/>
      <c r="AO15" s="9" t="s">
        <v>40</v>
      </c>
      <c r="AP15" s="12"/>
      <c r="AQ15" s="13"/>
      <c r="AR15" s="5">
        <v>37.66</v>
      </c>
      <c r="AS15" s="5">
        <v>29.6</v>
      </c>
      <c r="AT15" s="5">
        <v>4050</v>
      </c>
      <c r="AU15" s="5">
        <v>294</v>
      </c>
      <c r="AV15" s="5">
        <v>10.4</v>
      </c>
      <c r="AW15" s="5">
        <v>2.79</v>
      </c>
      <c r="AX15" s="5">
        <v>324</v>
      </c>
      <c r="AY15" s="5">
        <v>47</v>
      </c>
      <c r="AZ15" s="5">
        <v>250</v>
      </c>
      <c r="BA15" s="5">
        <v>125</v>
      </c>
      <c r="BB15" s="5">
        <v>9</v>
      </c>
      <c r="BC15" s="5">
        <v>6</v>
      </c>
      <c r="BD15" s="5">
        <v>12</v>
      </c>
    </row>
    <row r="16" spans="1:56" s="28" customFormat="1" ht="15.75" customHeight="1">
      <c r="A16" s="36"/>
      <c r="B16" s="9" t="s">
        <v>43</v>
      </c>
      <c r="C16" s="12"/>
      <c r="D16" s="13"/>
      <c r="E16" s="5">
        <v>63.14</v>
      </c>
      <c r="F16" s="5">
        <v>49.6</v>
      </c>
      <c r="G16" s="5">
        <v>13600</v>
      </c>
      <c r="H16" s="5">
        <v>984</v>
      </c>
      <c r="I16" s="5">
        <v>14.7</v>
      </c>
      <c r="J16" s="5">
        <v>3.95</v>
      </c>
      <c r="K16" s="5">
        <v>775</v>
      </c>
      <c r="L16" s="5">
        <v>112</v>
      </c>
      <c r="M16" s="14">
        <v>350</v>
      </c>
      <c r="N16" s="14">
        <v>175</v>
      </c>
      <c r="O16" s="14">
        <v>11</v>
      </c>
      <c r="P16" s="14">
        <v>7</v>
      </c>
      <c r="Q16" s="19">
        <v>14</v>
      </c>
      <c r="R16" s="63"/>
      <c r="S16" s="36"/>
      <c r="T16" s="35"/>
      <c r="Y16" s="30"/>
      <c r="AB16" s="30"/>
      <c r="AE16" s="26"/>
      <c r="AO16" s="9" t="s">
        <v>62</v>
      </c>
      <c r="AP16" s="12"/>
      <c r="AQ16" s="13"/>
      <c r="AR16" s="5">
        <v>56.24</v>
      </c>
      <c r="AS16" s="5">
        <v>44.1</v>
      </c>
      <c r="AT16" s="5">
        <v>6120</v>
      </c>
      <c r="AU16" s="5">
        <v>984</v>
      </c>
      <c r="AV16" s="5">
        <v>10.4</v>
      </c>
      <c r="AW16" s="5">
        <v>4.18</v>
      </c>
      <c r="AX16" s="5">
        <v>502</v>
      </c>
      <c r="AY16" s="5">
        <v>113</v>
      </c>
      <c r="AZ16" s="5">
        <v>250</v>
      </c>
      <c r="BA16" s="5">
        <v>175</v>
      </c>
      <c r="BB16" s="5">
        <v>11</v>
      </c>
      <c r="BC16" s="5">
        <v>7</v>
      </c>
      <c r="BD16" s="5">
        <v>16</v>
      </c>
    </row>
    <row r="17" spans="1:56" s="28" customFormat="1" ht="15.75" customHeight="1">
      <c r="A17" s="36"/>
      <c r="B17" s="159"/>
      <c r="C17" s="159"/>
      <c r="D17" s="16"/>
      <c r="E17" s="7"/>
      <c r="F17" s="7"/>
      <c r="G17" s="159"/>
      <c r="H17" s="7"/>
      <c r="I17" s="7"/>
      <c r="J17" s="7"/>
      <c r="K17" s="7"/>
      <c r="L17" s="7"/>
      <c r="M17" s="18"/>
      <c r="N17" s="18"/>
      <c r="O17" s="18"/>
      <c r="P17" s="18"/>
      <c r="Q17" s="7"/>
      <c r="R17" s="63"/>
      <c r="S17" s="36"/>
      <c r="T17" s="35"/>
      <c r="Y17" s="30"/>
      <c r="AB17" s="30"/>
      <c r="AE17" s="26"/>
      <c r="AO17" s="9" t="s">
        <v>41</v>
      </c>
      <c r="AP17" s="12"/>
      <c r="AQ17" s="13"/>
      <c r="AR17" s="5">
        <v>92.18</v>
      </c>
      <c r="AS17" s="5">
        <v>72.4</v>
      </c>
      <c r="AT17" s="5">
        <v>10800</v>
      </c>
      <c r="AU17" s="5">
        <v>3650</v>
      </c>
      <c r="AV17" s="5">
        <v>10.8</v>
      </c>
      <c r="AW17" s="5">
        <v>6.29</v>
      </c>
      <c r="AX17" s="5">
        <v>867</v>
      </c>
      <c r="AY17" s="5">
        <v>292</v>
      </c>
      <c r="AZ17" s="5">
        <v>250</v>
      </c>
      <c r="BA17" s="5">
        <v>250</v>
      </c>
      <c r="BB17" s="5">
        <v>14</v>
      </c>
      <c r="BC17" s="5">
        <v>9</v>
      </c>
      <c r="BD17" s="5">
        <v>16</v>
      </c>
    </row>
    <row r="18" spans="1:56" s="28" customFormat="1" ht="15.75" customHeight="1">
      <c r="A18" s="36"/>
      <c r="B18" s="96" t="s">
        <v>137</v>
      </c>
      <c r="C18" s="96"/>
      <c r="D18" s="64"/>
      <c r="E18" s="65"/>
      <c r="F18" s="65"/>
      <c r="G18" s="26"/>
      <c r="H18" s="26" t="s">
        <v>0</v>
      </c>
      <c r="I18" s="65"/>
      <c r="J18" s="65"/>
      <c r="K18" s="65"/>
      <c r="L18" s="25" t="s">
        <v>138</v>
      </c>
      <c r="M18" s="26" t="s">
        <v>0</v>
      </c>
      <c r="N18" s="25" t="s">
        <v>140</v>
      </c>
      <c r="O18" s="65" t="s">
        <v>88</v>
      </c>
      <c r="P18" s="65"/>
      <c r="Q18" s="73">
        <f>T12/Q11</f>
        <v>20</v>
      </c>
      <c r="R18" s="37" t="s">
        <v>15</v>
      </c>
      <c r="S18" s="36"/>
      <c r="T18" s="35"/>
      <c r="Y18" s="30"/>
      <c r="AB18" s="30"/>
      <c r="AO18" s="9" t="s">
        <v>79</v>
      </c>
      <c r="AP18" s="12"/>
      <c r="AQ18" s="13"/>
      <c r="AR18" s="5">
        <v>40.8</v>
      </c>
      <c r="AS18" s="5">
        <v>32</v>
      </c>
      <c r="AT18" s="5">
        <v>6320</v>
      </c>
      <c r="AU18" s="5">
        <v>442</v>
      </c>
      <c r="AV18" s="5">
        <v>12.4</v>
      </c>
      <c r="AW18" s="5">
        <v>3.29</v>
      </c>
      <c r="AX18" s="5">
        <v>424</v>
      </c>
      <c r="AY18" s="5">
        <v>59.3</v>
      </c>
      <c r="AZ18" s="5">
        <v>198</v>
      </c>
      <c r="BA18" s="5">
        <v>149</v>
      </c>
      <c r="BB18" s="5">
        <v>8</v>
      </c>
      <c r="BC18" s="5">
        <v>5.5</v>
      </c>
      <c r="BD18" s="5">
        <v>13</v>
      </c>
    </row>
    <row r="19" spans="1:56" s="28" customFormat="1" ht="15.75" customHeight="1" thickBot="1">
      <c r="A19" s="36"/>
      <c r="B19" s="96" t="s">
        <v>139</v>
      </c>
      <c r="C19" s="96"/>
      <c r="D19" s="64"/>
      <c r="E19" s="65"/>
      <c r="F19" s="65"/>
      <c r="G19" s="26"/>
      <c r="H19" s="26"/>
      <c r="I19" s="65"/>
      <c r="J19" s="65"/>
      <c r="K19" s="65"/>
      <c r="L19" s="25" t="s">
        <v>163</v>
      </c>
      <c r="M19" s="26" t="s">
        <v>0</v>
      </c>
      <c r="N19" s="65"/>
      <c r="O19" s="25"/>
      <c r="P19" s="72" t="s">
        <v>201</v>
      </c>
      <c r="Q19" s="161">
        <v>8</v>
      </c>
      <c r="R19" s="37" t="s">
        <v>15</v>
      </c>
      <c r="S19" s="36"/>
      <c r="T19" s="28" t="s">
        <v>192</v>
      </c>
      <c r="Y19" s="30"/>
      <c r="AB19" s="30"/>
      <c r="AO19" s="9" t="s">
        <v>42</v>
      </c>
      <c r="AP19" s="12"/>
      <c r="AQ19" s="13"/>
      <c r="AR19" s="5">
        <v>46.78</v>
      </c>
      <c r="AS19" s="5">
        <v>36.7</v>
      </c>
      <c r="AT19" s="5">
        <v>7210</v>
      </c>
      <c r="AU19" s="5">
        <v>508</v>
      </c>
      <c r="AV19" s="5">
        <v>12.4</v>
      </c>
      <c r="AW19" s="5">
        <v>3.29</v>
      </c>
      <c r="AX19" s="5">
        <v>481</v>
      </c>
      <c r="AY19" s="5">
        <v>67.7</v>
      </c>
      <c r="AZ19" s="5">
        <v>300</v>
      </c>
      <c r="BA19" s="5">
        <v>150</v>
      </c>
      <c r="BB19" s="5">
        <v>9</v>
      </c>
      <c r="BC19" s="5">
        <v>6.5</v>
      </c>
      <c r="BD19" s="5">
        <v>13</v>
      </c>
    </row>
    <row r="20" spans="1:56" s="28" customFormat="1" ht="15.75" customHeight="1">
      <c r="A20" s="36"/>
      <c r="B20" s="96" t="s">
        <v>193</v>
      </c>
      <c r="C20" s="96"/>
      <c r="D20" s="64"/>
      <c r="E20" s="65"/>
      <c r="F20" s="190"/>
      <c r="G20" s="190"/>
      <c r="H20" s="26" t="s">
        <v>0</v>
      </c>
      <c r="I20" s="65"/>
      <c r="J20" s="65"/>
      <c r="K20" s="65"/>
      <c r="L20" s="25" t="s">
        <v>20</v>
      </c>
      <c r="M20" s="26" t="s">
        <v>0</v>
      </c>
      <c r="N20" s="65"/>
      <c r="O20" s="65"/>
      <c r="P20" s="25"/>
      <c r="Q20" s="73">
        <f>(M16/10)+(Q19*2)</f>
        <v>51</v>
      </c>
      <c r="R20" s="37" t="s">
        <v>15</v>
      </c>
      <c r="S20" s="36"/>
      <c r="T20" s="164" t="s">
        <v>196</v>
      </c>
      <c r="U20" s="143"/>
      <c r="V20" s="165"/>
      <c r="W20" s="131"/>
      <c r="X20" s="131" t="s">
        <v>161</v>
      </c>
      <c r="Y20" s="132"/>
      <c r="AB20" s="30"/>
      <c r="AO20" s="9" t="s">
        <v>63</v>
      </c>
      <c r="AP20" s="12"/>
      <c r="AQ20" s="13"/>
      <c r="AR20" s="5">
        <v>72.38</v>
      </c>
      <c r="AS20" s="5">
        <v>56.8</v>
      </c>
      <c r="AT20" s="5">
        <v>11300</v>
      </c>
      <c r="AU20" s="5">
        <v>1600</v>
      </c>
      <c r="AV20" s="5">
        <v>12.5</v>
      </c>
      <c r="AW20" s="5">
        <v>4.71</v>
      </c>
      <c r="AX20" s="5">
        <v>771</v>
      </c>
      <c r="AY20" s="5">
        <v>160</v>
      </c>
      <c r="AZ20" s="5">
        <v>300</v>
      </c>
      <c r="BA20" s="5">
        <v>200</v>
      </c>
      <c r="BB20" s="5">
        <v>12</v>
      </c>
      <c r="BC20" s="5">
        <v>8</v>
      </c>
      <c r="BD20" s="5">
        <v>18</v>
      </c>
    </row>
    <row r="21" spans="1:56" s="28" customFormat="1" ht="15.75" customHeight="1">
      <c r="A21" s="36"/>
      <c r="B21" s="96" t="s">
        <v>194</v>
      </c>
      <c r="C21" s="96"/>
      <c r="D21" s="64"/>
      <c r="E21" s="65"/>
      <c r="F21" s="25"/>
      <c r="G21" s="25"/>
      <c r="H21" s="26" t="s">
        <v>0</v>
      </c>
      <c r="I21" s="65"/>
      <c r="J21" s="65"/>
      <c r="K21" s="65"/>
      <c r="L21" s="25" t="s">
        <v>21</v>
      </c>
      <c r="M21" s="26" t="s">
        <v>0</v>
      </c>
      <c r="N21" s="65"/>
      <c r="O21" s="65"/>
      <c r="P21" s="25"/>
      <c r="Q21" s="73">
        <f>(N16/10)+(Q19*2)</f>
        <v>33.5</v>
      </c>
      <c r="R21" s="37" t="s">
        <v>15</v>
      </c>
      <c r="S21" s="36"/>
      <c r="T21" s="166"/>
      <c r="U21" s="160" t="s">
        <v>197</v>
      </c>
      <c r="V21" s="31">
        <f>1/6</f>
        <v>0.16666666666666666</v>
      </c>
      <c r="W21" s="31"/>
      <c r="X21" s="31"/>
      <c r="Y21" s="167"/>
      <c r="AB21" s="30"/>
      <c r="AO21" s="9" t="s">
        <v>56</v>
      </c>
      <c r="AP21" s="12"/>
      <c r="AQ21" s="13"/>
      <c r="AR21" s="5">
        <v>119.8</v>
      </c>
      <c r="AS21" s="5">
        <v>94</v>
      </c>
      <c r="AT21" s="5">
        <v>20400</v>
      </c>
      <c r="AU21" s="5">
        <v>6750</v>
      </c>
      <c r="AV21" s="5">
        <v>13.1</v>
      </c>
      <c r="AW21" s="5">
        <v>7.51</v>
      </c>
      <c r="AX21" s="5">
        <v>1360</v>
      </c>
      <c r="AY21" s="5">
        <v>450</v>
      </c>
      <c r="AZ21" s="5">
        <v>300</v>
      </c>
      <c r="BA21" s="5">
        <v>300</v>
      </c>
      <c r="BB21" s="5">
        <v>15</v>
      </c>
      <c r="BC21" s="5">
        <v>10</v>
      </c>
      <c r="BD21" s="5">
        <v>18</v>
      </c>
    </row>
    <row r="22" spans="1:56" s="28" customFormat="1" ht="15.75" customHeight="1">
      <c r="A22" s="36"/>
      <c r="B22" s="96" t="s">
        <v>200</v>
      </c>
      <c r="C22" s="96"/>
      <c r="D22" s="64"/>
      <c r="E22" s="65"/>
      <c r="F22" s="25"/>
      <c r="G22" s="25"/>
      <c r="H22" s="26"/>
      <c r="I22" s="65"/>
      <c r="J22" s="65"/>
      <c r="K22" s="25"/>
      <c r="L22" s="160" t="s">
        <v>199</v>
      </c>
      <c r="M22" s="162">
        <v>52</v>
      </c>
      <c r="N22" s="25" t="s">
        <v>81</v>
      </c>
      <c r="O22" s="25"/>
      <c r="P22" s="160" t="s">
        <v>98</v>
      </c>
      <c r="Q22" s="161">
        <v>52</v>
      </c>
      <c r="R22" s="37" t="s">
        <v>15</v>
      </c>
      <c r="S22" s="36"/>
      <c r="T22" s="166"/>
      <c r="U22" s="160" t="s">
        <v>198</v>
      </c>
      <c r="V22" s="31">
        <f>Q18/M22</f>
        <v>0.38461538461538464</v>
      </c>
      <c r="W22" s="31"/>
      <c r="X22" s="31"/>
      <c r="Y22" s="167"/>
      <c r="AB22" s="30"/>
      <c r="AO22" s="9" t="s">
        <v>43</v>
      </c>
      <c r="AP22" s="12"/>
      <c r="AQ22" s="13"/>
      <c r="AR22" s="5">
        <v>63.14</v>
      </c>
      <c r="AS22" s="5">
        <v>49.6</v>
      </c>
      <c r="AT22" s="5">
        <v>13600</v>
      </c>
      <c r="AU22" s="5">
        <v>984</v>
      </c>
      <c r="AV22" s="5">
        <v>14.7</v>
      </c>
      <c r="AW22" s="5">
        <v>3.95</v>
      </c>
      <c r="AX22" s="5">
        <v>775</v>
      </c>
      <c r="AY22" s="5">
        <v>112</v>
      </c>
      <c r="AZ22" s="5">
        <v>350</v>
      </c>
      <c r="BA22" s="5">
        <v>175</v>
      </c>
      <c r="BB22" s="5">
        <v>11</v>
      </c>
      <c r="BC22" s="5">
        <v>7</v>
      </c>
      <c r="BD22" s="5">
        <v>14</v>
      </c>
    </row>
    <row r="23" spans="1:56" s="28" customFormat="1" ht="15.75" customHeight="1" thickBot="1">
      <c r="A23" s="36"/>
      <c r="B23" s="96" t="s">
        <v>196</v>
      </c>
      <c r="C23" s="96"/>
      <c r="D23" s="64"/>
      <c r="E23" s="31"/>
      <c r="F23" s="31" t="s">
        <v>161</v>
      </c>
      <c r="G23" s="31"/>
      <c r="H23" s="26" t="s">
        <v>0</v>
      </c>
      <c r="I23" s="25"/>
      <c r="J23" s="25"/>
      <c r="K23" s="25"/>
      <c r="L23" s="25"/>
      <c r="M23" s="26" t="s">
        <v>0</v>
      </c>
      <c r="N23" s="99"/>
      <c r="O23" s="128" t="str">
        <f>IF(V23&gt;V22,"Very Eccentricity","Recheck Eccentricity")</f>
        <v>Very Eccentricity</v>
      </c>
      <c r="P23" s="100"/>
      <c r="Q23" s="163"/>
      <c r="R23" s="37"/>
      <c r="S23" s="31"/>
      <c r="T23" s="168"/>
      <c r="U23" s="169" t="s">
        <v>189</v>
      </c>
      <c r="V23" s="170">
        <f>1/2</f>
        <v>0.5</v>
      </c>
      <c r="W23" s="170"/>
      <c r="X23" s="139"/>
      <c r="Y23" s="171"/>
      <c r="AB23" s="30"/>
      <c r="AO23" s="9" t="s">
        <v>45</v>
      </c>
      <c r="AP23" s="12"/>
      <c r="AQ23" s="13"/>
      <c r="AR23" s="5">
        <v>173.9</v>
      </c>
      <c r="AS23" s="5">
        <v>137</v>
      </c>
      <c r="AT23" s="5">
        <v>40300</v>
      </c>
      <c r="AU23" s="5">
        <v>13600</v>
      </c>
      <c r="AV23" s="5">
        <v>15.2</v>
      </c>
      <c r="AW23" s="5">
        <v>8.84</v>
      </c>
      <c r="AX23" s="5">
        <v>2300</v>
      </c>
      <c r="AY23" s="5">
        <v>776</v>
      </c>
      <c r="AZ23" s="5">
        <v>350</v>
      </c>
      <c r="BA23" s="5">
        <v>350</v>
      </c>
      <c r="BB23" s="5">
        <v>19</v>
      </c>
      <c r="BC23" s="5">
        <v>12</v>
      </c>
      <c r="BD23" s="5">
        <v>20</v>
      </c>
    </row>
    <row r="24" spans="1:56" s="28" customFormat="1" ht="15.75" customHeight="1">
      <c r="A24" s="36"/>
      <c r="B24" s="31"/>
      <c r="C24" s="67"/>
      <c r="D24" s="64"/>
      <c r="E24" s="65"/>
      <c r="F24" s="65"/>
      <c r="G24" s="26"/>
      <c r="H24" s="26"/>
      <c r="I24" s="65"/>
      <c r="J24" s="65"/>
      <c r="K24" s="65"/>
      <c r="L24" s="25"/>
      <c r="M24" s="26"/>
      <c r="N24" s="65"/>
      <c r="O24" s="65"/>
      <c r="P24" s="122"/>
      <c r="Q24" s="123"/>
      <c r="R24" s="37"/>
      <c r="S24" s="36"/>
      <c r="T24" s="35"/>
      <c r="U24" s="24"/>
      <c r="Y24" s="30"/>
      <c r="AB24" s="30"/>
      <c r="AO24" s="9" t="s">
        <v>44</v>
      </c>
      <c r="AP24" s="12"/>
      <c r="AQ24" s="13"/>
      <c r="AR24" s="5">
        <v>84.12</v>
      </c>
      <c r="AS24" s="5">
        <v>66</v>
      </c>
      <c r="AT24" s="5">
        <v>23700</v>
      </c>
      <c r="AU24" s="5">
        <v>1740</v>
      </c>
      <c r="AV24" s="5">
        <v>16.8</v>
      </c>
      <c r="AW24" s="5">
        <v>4.54</v>
      </c>
      <c r="AX24" s="5">
        <v>1190</v>
      </c>
      <c r="AY24" s="5">
        <v>174</v>
      </c>
      <c r="AZ24" s="5">
        <v>400</v>
      </c>
      <c r="BA24" s="5">
        <v>200</v>
      </c>
      <c r="BB24" s="5">
        <v>13</v>
      </c>
      <c r="BC24" s="5">
        <v>8</v>
      </c>
      <c r="BD24" s="5">
        <v>16</v>
      </c>
    </row>
    <row r="25" spans="1:56" s="28" customFormat="1" ht="15.75" customHeight="1" thickBot="1">
      <c r="A25" s="121"/>
      <c r="B25" s="31"/>
      <c r="C25" s="67"/>
      <c r="D25" s="64"/>
      <c r="E25" s="65"/>
      <c r="F25" s="65"/>
      <c r="G25" s="26"/>
      <c r="H25" s="26"/>
      <c r="I25" s="70"/>
      <c r="J25" s="65"/>
      <c r="K25" s="65"/>
      <c r="L25" s="25"/>
      <c r="M25" s="26"/>
      <c r="N25" s="25"/>
      <c r="O25" s="37"/>
      <c r="P25" s="191"/>
      <c r="Q25" s="191"/>
      <c r="R25" s="191"/>
      <c r="S25" s="36"/>
      <c r="T25" s="35" t="s">
        <v>162</v>
      </c>
      <c r="Y25" s="30"/>
      <c r="AB25" s="30"/>
      <c r="AO25" s="9" t="s">
        <v>46</v>
      </c>
      <c r="AP25" s="12"/>
      <c r="AQ25" s="13"/>
      <c r="AR25" s="5">
        <v>136</v>
      </c>
      <c r="AS25" s="5">
        <v>107</v>
      </c>
      <c r="AT25" s="5">
        <v>38700</v>
      </c>
      <c r="AU25" s="5">
        <v>7210</v>
      </c>
      <c r="AV25" s="5">
        <v>16.9</v>
      </c>
      <c r="AW25" s="5">
        <v>7.28</v>
      </c>
      <c r="AX25" s="5">
        <v>1980</v>
      </c>
      <c r="AY25" s="5">
        <v>481</v>
      </c>
      <c r="AZ25" s="5">
        <v>390</v>
      </c>
      <c r="BA25" s="5">
        <v>300</v>
      </c>
      <c r="BB25" s="5">
        <v>16</v>
      </c>
      <c r="BC25" s="5">
        <v>10</v>
      </c>
      <c r="BD25" s="5">
        <v>22</v>
      </c>
    </row>
    <row r="26" spans="1:56" s="28" customFormat="1" ht="15.75" customHeight="1">
      <c r="A26" s="121"/>
      <c r="B26" s="31"/>
      <c r="C26" s="67"/>
      <c r="D26" s="64"/>
      <c r="E26" s="65"/>
      <c r="F26" s="65"/>
      <c r="G26" s="26"/>
      <c r="H26" s="26"/>
      <c r="I26" s="70" t="s">
        <v>195</v>
      </c>
      <c r="J26" s="65"/>
      <c r="K26" s="65"/>
      <c r="L26" s="25" t="s">
        <v>20</v>
      </c>
      <c r="M26" s="26" t="s">
        <v>0</v>
      </c>
      <c r="N26" s="98">
        <f>M22</f>
        <v>52</v>
      </c>
      <c r="O26" s="25" t="s">
        <v>21</v>
      </c>
      <c r="P26" s="26" t="s">
        <v>0</v>
      </c>
      <c r="Q26" s="98">
        <f>Q22</f>
        <v>52</v>
      </c>
      <c r="R26" s="37" t="s">
        <v>15</v>
      </c>
      <c r="S26" s="36"/>
      <c r="T26" s="35"/>
      <c r="U26" s="142" t="s">
        <v>89</v>
      </c>
      <c r="V26" s="143"/>
      <c r="W26" s="144"/>
      <c r="X26" s="144"/>
      <c r="Y26" s="131"/>
      <c r="Z26" s="145"/>
      <c r="AA26" s="131"/>
      <c r="AB26" s="131"/>
      <c r="AC26" s="131"/>
      <c r="AD26" s="145"/>
      <c r="AE26" s="131"/>
      <c r="AF26" s="131"/>
      <c r="AG26" s="132"/>
      <c r="AO26" s="9" t="s">
        <v>47</v>
      </c>
      <c r="AP26" s="12"/>
      <c r="AQ26" s="13"/>
      <c r="AR26" s="5">
        <v>218.7</v>
      </c>
      <c r="AS26" s="5">
        <v>172</v>
      </c>
      <c r="AT26" s="5">
        <v>66600</v>
      </c>
      <c r="AU26" s="5">
        <v>22400</v>
      </c>
      <c r="AV26" s="5">
        <v>17.5</v>
      </c>
      <c r="AW26" s="5">
        <v>10.1</v>
      </c>
      <c r="AX26" s="5">
        <v>3330</v>
      </c>
      <c r="AY26" s="5">
        <v>1120</v>
      </c>
      <c r="AZ26" s="5">
        <v>400</v>
      </c>
      <c r="BA26" s="5">
        <v>400</v>
      </c>
      <c r="BB26" s="5">
        <v>21</v>
      </c>
      <c r="BC26" s="5">
        <v>13</v>
      </c>
      <c r="BD26" s="5">
        <v>22</v>
      </c>
    </row>
    <row r="27" spans="1:56" s="28" customFormat="1" ht="15.75" customHeight="1">
      <c r="A27" s="121"/>
      <c r="B27" s="31"/>
      <c r="C27" s="67"/>
      <c r="D27" s="64"/>
      <c r="E27" s="65"/>
      <c r="F27" s="65"/>
      <c r="G27" s="26"/>
      <c r="H27" s="26"/>
      <c r="I27" s="70" t="s">
        <v>97</v>
      </c>
      <c r="J27" s="65"/>
      <c r="K27" s="65"/>
      <c r="L27" s="25"/>
      <c r="M27" s="26" t="s">
        <v>0</v>
      </c>
      <c r="N27" s="25"/>
      <c r="O27" s="65"/>
      <c r="P27" s="105"/>
      <c r="Q27" s="32">
        <v>3</v>
      </c>
      <c r="R27" s="63"/>
      <c r="S27" s="36"/>
      <c r="T27" s="35"/>
      <c r="U27" s="146">
        <v>1</v>
      </c>
      <c r="V27" s="31" t="s">
        <v>90</v>
      </c>
      <c r="W27" s="31"/>
      <c r="X27" s="31"/>
      <c r="Y27" s="25"/>
      <c r="Z27" s="25" t="s">
        <v>82</v>
      </c>
      <c r="AA27" s="25" t="s">
        <v>0</v>
      </c>
      <c r="AB27" s="31"/>
      <c r="AC27" s="69">
        <v>28.1</v>
      </c>
      <c r="AD27" s="31" t="s">
        <v>1</v>
      </c>
      <c r="AE27" s="31"/>
      <c r="AF27" s="31"/>
      <c r="AG27" s="147"/>
      <c r="AO27" s="9" t="s">
        <v>48</v>
      </c>
      <c r="AP27" s="12"/>
      <c r="AQ27" s="13"/>
      <c r="AR27" s="5">
        <v>96.76</v>
      </c>
      <c r="AS27" s="5">
        <v>76</v>
      </c>
      <c r="AT27" s="5">
        <v>33500</v>
      </c>
      <c r="AU27" s="5">
        <v>1870</v>
      </c>
      <c r="AV27" s="5">
        <v>18.6</v>
      </c>
      <c r="AW27" s="5">
        <v>4.4</v>
      </c>
      <c r="AX27" s="5">
        <v>1490</v>
      </c>
      <c r="AY27" s="5">
        <v>187</v>
      </c>
      <c r="AZ27" s="5">
        <v>450</v>
      </c>
      <c r="BA27" s="5">
        <v>200</v>
      </c>
      <c r="BB27" s="5">
        <v>14</v>
      </c>
      <c r="BC27" s="5">
        <v>9</v>
      </c>
      <c r="BD27" s="5">
        <v>18</v>
      </c>
    </row>
    <row r="28" spans="1:56" s="28" customFormat="1" ht="15.75" customHeight="1">
      <c r="A28" s="121"/>
      <c r="B28" s="31"/>
      <c r="C28" s="67"/>
      <c r="D28" s="64"/>
      <c r="E28" s="65"/>
      <c r="F28" s="65"/>
      <c r="G28" s="26"/>
      <c r="H28" s="26"/>
      <c r="I28" s="70" t="s">
        <v>128</v>
      </c>
      <c r="J28" s="65"/>
      <c r="K28" s="65"/>
      <c r="L28" s="25"/>
      <c r="M28" s="26" t="s">
        <v>0</v>
      </c>
      <c r="N28" s="25"/>
      <c r="O28" s="65"/>
      <c r="P28" s="105"/>
      <c r="Q28" s="73">
        <f>+IF(Q27=1,AC27,IF(Q27=2,AC28,IF(Q27=3,AC29,IF(Q27=4,AC33,0))))</f>
        <v>84</v>
      </c>
      <c r="R28" s="87" t="s">
        <v>1</v>
      </c>
      <c r="S28" s="36"/>
      <c r="T28" s="35"/>
      <c r="U28" s="146">
        <v>2</v>
      </c>
      <c r="V28" s="31" t="s">
        <v>91</v>
      </c>
      <c r="W28" s="36"/>
      <c r="X28" s="36"/>
      <c r="Y28" s="25"/>
      <c r="Z28" s="25" t="s">
        <v>82</v>
      </c>
      <c r="AA28" s="25" t="s">
        <v>0</v>
      </c>
      <c r="AB28" s="36"/>
      <c r="AC28" s="69">
        <v>17.5</v>
      </c>
      <c r="AD28" s="31" t="s">
        <v>1</v>
      </c>
      <c r="AE28" s="31"/>
      <c r="AF28" s="31"/>
      <c r="AG28" s="147"/>
      <c r="AO28" s="9" t="s">
        <v>64</v>
      </c>
      <c r="AP28" s="12"/>
      <c r="AQ28" s="13"/>
      <c r="AR28" s="5">
        <v>157.4</v>
      </c>
      <c r="AS28" s="5">
        <v>124</v>
      </c>
      <c r="AT28" s="5">
        <v>56100</v>
      </c>
      <c r="AU28" s="5">
        <v>8110</v>
      </c>
      <c r="AV28" s="5">
        <v>18.9</v>
      </c>
      <c r="AW28" s="5">
        <v>7.18</v>
      </c>
      <c r="AX28" s="5">
        <v>2550</v>
      </c>
      <c r="AY28" s="5">
        <v>541</v>
      </c>
      <c r="AZ28" s="5">
        <v>440</v>
      </c>
      <c r="BA28" s="5">
        <v>300</v>
      </c>
      <c r="BB28" s="5">
        <v>18</v>
      </c>
      <c r="BC28" s="5">
        <v>11</v>
      </c>
      <c r="BD28" s="5">
        <v>24</v>
      </c>
    </row>
    <row r="29" spans="1:56" s="28" customFormat="1" ht="15.75" customHeight="1">
      <c r="A29" s="121"/>
      <c r="B29" s="31"/>
      <c r="C29" s="67"/>
      <c r="D29" s="64"/>
      <c r="E29" s="65"/>
      <c r="F29" s="65"/>
      <c r="G29" s="26"/>
      <c r="H29" s="26"/>
      <c r="I29" s="70" t="s">
        <v>164</v>
      </c>
      <c r="J29" s="65"/>
      <c r="K29" s="65"/>
      <c r="L29" s="25"/>
      <c r="M29" s="26" t="s">
        <v>0</v>
      </c>
      <c r="N29" s="25"/>
      <c r="O29" s="25" t="s">
        <v>85</v>
      </c>
      <c r="P29" s="26" t="s">
        <v>0</v>
      </c>
      <c r="Q29" s="98">
        <f>F50-(Q19/2)</f>
        <v>48</v>
      </c>
      <c r="R29" s="37" t="s">
        <v>15</v>
      </c>
      <c r="S29" s="36"/>
      <c r="T29" s="35"/>
      <c r="U29" s="146">
        <v>3</v>
      </c>
      <c r="V29" s="31" t="s">
        <v>92</v>
      </c>
      <c r="W29" s="36"/>
      <c r="X29" s="36"/>
      <c r="Y29" s="36"/>
      <c r="Z29" s="25" t="s">
        <v>82</v>
      </c>
      <c r="AA29" s="25" t="s">
        <v>0</v>
      </c>
      <c r="AB29" s="25" t="s">
        <v>93</v>
      </c>
      <c r="AC29" s="68">
        <f>0.35*Q10</f>
        <v>84</v>
      </c>
      <c r="AD29" s="31" t="s">
        <v>1</v>
      </c>
      <c r="AE29" s="31"/>
      <c r="AF29" s="31"/>
      <c r="AG29" s="147"/>
      <c r="AO29" s="9" t="s">
        <v>49</v>
      </c>
      <c r="AP29" s="12"/>
      <c r="AQ29" s="13"/>
      <c r="AR29" s="5">
        <v>114.2</v>
      </c>
      <c r="AS29" s="5">
        <v>89.6</v>
      </c>
      <c r="AT29" s="5">
        <v>47800</v>
      </c>
      <c r="AU29" s="5">
        <v>2140</v>
      </c>
      <c r="AV29" s="5">
        <v>20.5</v>
      </c>
      <c r="AW29" s="5">
        <v>4.33</v>
      </c>
      <c r="AX29" s="5">
        <v>1910</v>
      </c>
      <c r="AY29" s="5">
        <v>214</v>
      </c>
      <c r="AZ29" s="5">
        <v>500</v>
      </c>
      <c r="BA29" s="5">
        <v>200</v>
      </c>
      <c r="BB29" s="5">
        <v>16</v>
      </c>
      <c r="BC29" s="5">
        <v>10</v>
      </c>
      <c r="BD29" s="5">
        <v>20</v>
      </c>
    </row>
    <row r="30" spans="1:56" s="28" customFormat="1" ht="15.75" customHeight="1">
      <c r="A30" s="36"/>
      <c r="B30" s="31"/>
      <c r="C30" s="67"/>
      <c r="D30" s="64"/>
      <c r="E30" s="65"/>
      <c r="F30" s="65"/>
      <c r="G30" s="26"/>
      <c r="H30" s="26"/>
      <c r="I30" s="65"/>
      <c r="J30" s="65"/>
      <c r="K30" s="65"/>
      <c r="L30" s="25"/>
      <c r="M30" s="26" t="s">
        <v>0</v>
      </c>
      <c r="N30" s="25"/>
      <c r="O30" s="25" t="s">
        <v>171</v>
      </c>
      <c r="P30" s="105"/>
      <c r="Q30" s="125">
        <f>(Q28*Q26*Q29)/2</f>
        <v>104832</v>
      </c>
      <c r="R30" s="37" t="s">
        <v>5</v>
      </c>
      <c r="S30" s="36"/>
      <c r="T30" s="35"/>
      <c r="U30" s="146">
        <v>4</v>
      </c>
      <c r="V30" s="31" t="s">
        <v>94</v>
      </c>
      <c r="W30" s="31"/>
      <c r="X30" s="31"/>
      <c r="Y30" s="31"/>
      <c r="Z30" s="25" t="s">
        <v>82</v>
      </c>
      <c r="AA30" s="25" t="s">
        <v>0</v>
      </c>
      <c r="AB30" s="31" t="s">
        <v>88</v>
      </c>
      <c r="AC30" s="31"/>
      <c r="AD30" s="31"/>
      <c r="AE30" s="31"/>
      <c r="AF30" s="31"/>
      <c r="AG30" s="147"/>
      <c r="AO30" s="9" t="s">
        <v>65</v>
      </c>
      <c r="AP30" s="12"/>
      <c r="AQ30" s="13"/>
      <c r="AR30" s="5">
        <v>163.5</v>
      </c>
      <c r="AS30" s="5">
        <v>128</v>
      </c>
      <c r="AT30" s="5">
        <v>71000</v>
      </c>
      <c r="AU30" s="5">
        <v>8110</v>
      </c>
      <c r="AV30" s="5">
        <v>20.8</v>
      </c>
      <c r="AW30" s="5">
        <v>7.04</v>
      </c>
      <c r="AX30" s="5">
        <v>2910</v>
      </c>
      <c r="AY30" s="5">
        <v>541</v>
      </c>
      <c r="AZ30" s="5">
        <v>488</v>
      </c>
      <c r="BA30" s="5">
        <v>300</v>
      </c>
      <c r="BB30" s="5">
        <v>18</v>
      </c>
      <c r="BC30" s="5">
        <v>11</v>
      </c>
      <c r="BD30" s="5">
        <v>26</v>
      </c>
    </row>
    <row r="31" spans="1:56" s="28" customFormat="1" ht="15.75" customHeight="1">
      <c r="A31" s="36"/>
      <c r="B31" s="31"/>
      <c r="C31" s="67"/>
      <c r="D31" s="64"/>
      <c r="E31" s="65"/>
      <c r="F31" s="65"/>
      <c r="G31" s="26"/>
      <c r="H31" s="26"/>
      <c r="I31" s="65"/>
      <c r="J31" s="65"/>
      <c r="K31" s="65"/>
      <c r="L31" s="25"/>
      <c r="M31" s="26"/>
      <c r="N31" s="25"/>
      <c r="O31" s="65"/>
      <c r="P31" s="105"/>
      <c r="Q31" s="106"/>
      <c r="R31" s="37"/>
      <c r="S31" s="36"/>
      <c r="T31" s="35"/>
      <c r="U31" s="148"/>
      <c r="V31" s="36"/>
      <c r="W31" s="36"/>
      <c r="X31" s="36"/>
      <c r="Y31" s="36"/>
      <c r="Z31" s="36"/>
      <c r="AA31" s="25" t="s">
        <v>0</v>
      </c>
      <c r="AB31" s="31" t="s">
        <v>23</v>
      </c>
      <c r="AC31" s="69">
        <f>N26*Q26</f>
        <v>2704</v>
      </c>
      <c r="AD31" s="31" t="s">
        <v>95</v>
      </c>
      <c r="AE31" s="31"/>
      <c r="AF31" s="31"/>
      <c r="AG31" s="147"/>
      <c r="AO31" s="9" t="s">
        <v>50</v>
      </c>
      <c r="AP31" s="12"/>
      <c r="AQ31" s="13"/>
      <c r="AR31" s="5">
        <v>134.4</v>
      </c>
      <c r="AS31" s="5">
        <v>106</v>
      </c>
      <c r="AT31" s="5">
        <v>77600</v>
      </c>
      <c r="AU31" s="5">
        <v>2280</v>
      </c>
      <c r="AV31" s="5">
        <v>24</v>
      </c>
      <c r="AW31" s="5">
        <v>4.12</v>
      </c>
      <c r="AX31" s="5">
        <v>2590</v>
      </c>
      <c r="AY31" s="5">
        <v>228</v>
      </c>
      <c r="AZ31" s="5">
        <v>600</v>
      </c>
      <c r="BA31" s="5">
        <v>200</v>
      </c>
      <c r="BB31" s="5">
        <v>17</v>
      </c>
      <c r="BC31" s="5">
        <v>11</v>
      </c>
      <c r="BD31" s="5">
        <v>22</v>
      </c>
    </row>
    <row r="32" spans="1:56" s="28" customFormat="1" ht="15.75" customHeight="1">
      <c r="A32" s="36"/>
      <c r="B32" s="31"/>
      <c r="C32" s="67"/>
      <c r="D32" s="64"/>
      <c r="E32" s="65"/>
      <c r="F32" s="65"/>
      <c r="G32" s="26"/>
      <c r="H32" s="26"/>
      <c r="I32" s="70" t="s">
        <v>167</v>
      </c>
      <c r="J32" s="65"/>
      <c r="K32" s="65"/>
      <c r="L32" s="25"/>
      <c r="M32" s="26" t="s">
        <v>0</v>
      </c>
      <c r="N32" s="25"/>
      <c r="O32" s="25" t="s">
        <v>168</v>
      </c>
      <c r="P32" s="26" t="s">
        <v>0</v>
      </c>
      <c r="Q32" s="173">
        <f>(F50/2)-(Q19/2)</f>
        <v>22</v>
      </c>
      <c r="R32" s="37" t="s">
        <v>15</v>
      </c>
      <c r="S32" s="36"/>
      <c r="T32" s="35"/>
      <c r="U32" s="149"/>
      <c r="V32" s="25" t="s">
        <v>133</v>
      </c>
      <c r="W32" s="31"/>
      <c r="X32" s="98">
        <f>N26</f>
        <v>52</v>
      </c>
      <c r="Y32" s="25" t="s">
        <v>24</v>
      </c>
      <c r="Z32" s="98">
        <f>Q26</f>
        <v>52</v>
      </c>
      <c r="AA32" s="25" t="s">
        <v>0</v>
      </c>
      <c r="AB32" s="31" t="s">
        <v>96</v>
      </c>
      <c r="AC32" s="69">
        <f>X32*Z32</f>
        <v>2704</v>
      </c>
      <c r="AD32" s="31" t="s">
        <v>95</v>
      </c>
      <c r="AE32" s="31"/>
      <c r="AF32" s="31"/>
      <c r="AG32" s="147"/>
      <c r="AO32" s="9" t="s">
        <v>66</v>
      </c>
      <c r="AP32" s="12"/>
      <c r="AQ32" s="13"/>
      <c r="AR32" s="5">
        <v>192.5</v>
      </c>
      <c r="AS32" s="5">
        <v>151</v>
      </c>
      <c r="AT32" s="5">
        <v>118000</v>
      </c>
      <c r="AU32" s="5">
        <v>9020</v>
      </c>
      <c r="AV32" s="5">
        <v>24.8</v>
      </c>
      <c r="AW32" s="5">
        <v>6.85</v>
      </c>
      <c r="AX32" s="5">
        <v>4020</v>
      </c>
      <c r="AY32" s="5">
        <v>601</v>
      </c>
      <c r="AZ32" s="5">
        <v>588</v>
      </c>
      <c r="BA32" s="5">
        <v>300</v>
      </c>
      <c r="BB32" s="5">
        <v>20</v>
      </c>
      <c r="BC32" s="5">
        <v>12</v>
      </c>
      <c r="BD32" s="5">
        <v>28</v>
      </c>
    </row>
    <row r="33" spans="1:56" s="28" customFormat="1" ht="15.75" customHeight="1">
      <c r="A33" s="36"/>
      <c r="B33" s="31"/>
      <c r="C33" s="67"/>
      <c r="D33" s="64"/>
      <c r="E33" s="65"/>
      <c r="F33" s="65"/>
      <c r="G33" s="26"/>
      <c r="H33" s="26"/>
      <c r="I33" s="65"/>
      <c r="J33" s="65"/>
      <c r="K33" s="65"/>
      <c r="L33" s="25"/>
      <c r="M33" s="26"/>
      <c r="N33" s="25"/>
      <c r="O33" s="65"/>
      <c r="P33" s="105"/>
      <c r="Q33" s="111"/>
      <c r="R33" s="37"/>
      <c r="S33" s="36"/>
      <c r="T33" s="35"/>
      <c r="U33" s="133"/>
      <c r="V33" s="31"/>
      <c r="W33" s="31"/>
      <c r="X33" s="25"/>
      <c r="Y33" s="201"/>
      <c r="Z33" s="201"/>
      <c r="AA33" s="190"/>
      <c r="AB33" s="190"/>
      <c r="AC33" s="124">
        <f>+MIN(0.35*Q10*(SQRT(AC32/AC31)),0.7*Q10)</f>
        <v>84</v>
      </c>
      <c r="AD33" s="31" t="s">
        <v>1</v>
      </c>
      <c r="AE33" s="85" t="s">
        <v>129</v>
      </c>
      <c r="AF33" s="31">
        <f>0.7*Q10</f>
        <v>168</v>
      </c>
      <c r="AG33" s="147"/>
      <c r="AO33" s="9" t="s">
        <v>67</v>
      </c>
      <c r="AP33" s="12"/>
      <c r="AQ33" s="13"/>
      <c r="AR33" s="5">
        <v>222.4</v>
      </c>
      <c r="AS33" s="5">
        <v>175</v>
      </c>
      <c r="AT33" s="5">
        <v>137000</v>
      </c>
      <c r="AU33" s="5">
        <v>10600</v>
      </c>
      <c r="AV33" s="5">
        <v>24.9</v>
      </c>
      <c r="AW33" s="5">
        <v>6.9</v>
      </c>
      <c r="AX33" s="5">
        <v>4620</v>
      </c>
      <c r="AY33" s="5">
        <v>701</v>
      </c>
      <c r="AZ33" s="5">
        <v>594</v>
      </c>
      <c r="BA33" s="5">
        <v>302</v>
      </c>
      <c r="BB33" s="5">
        <v>23</v>
      </c>
      <c r="BC33" s="5">
        <v>14</v>
      </c>
      <c r="BD33" s="5">
        <v>28</v>
      </c>
    </row>
    <row r="34" spans="1:56" s="28" customFormat="1" ht="15.75" customHeight="1" thickBot="1">
      <c r="A34" s="36"/>
      <c r="B34" s="31"/>
      <c r="C34" s="67"/>
      <c r="D34" s="64"/>
      <c r="E34" s="65"/>
      <c r="F34" s="65"/>
      <c r="G34" s="26"/>
      <c r="H34" s="26"/>
      <c r="I34" s="65"/>
      <c r="J34" s="65"/>
      <c r="K34" s="65"/>
      <c r="L34" s="25"/>
      <c r="M34" s="26" t="s">
        <v>0</v>
      </c>
      <c r="N34" s="25"/>
      <c r="O34" s="25" t="s">
        <v>170</v>
      </c>
      <c r="P34" s="26" t="s">
        <v>0</v>
      </c>
      <c r="Q34" s="172">
        <f>((Q30-(SQRT((Q30^2)-((4*Q28*Q26)/6)*((Q11)*(Q32)+(T12)))))/((Q28*Q26)/3))</f>
        <v>24.048101024207448</v>
      </c>
      <c r="R34" s="37" t="s">
        <v>15</v>
      </c>
      <c r="S34" s="36"/>
      <c r="T34" s="35"/>
      <c r="U34" s="150"/>
      <c r="V34" s="151"/>
      <c r="W34" s="139"/>
      <c r="X34" s="152"/>
      <c r="Y34" s="139"/>
      <c r="Z34" s="139"/>
      <c r="AA34" s="139"/>
      <c r="AB34" s="139"/>
      <c r="AC34" s="139"/>
      <c r="AD34" s="153" t="s">
        <v>82</v>
      </c>
      <c r="AE34" s="154" t="str">
        <f>IF(AC33&gt;AF33,"NG","OK USE"&amp;" "&amp;AC33&amp;" "&amp;"ksc")</f>
        <v>OK USE 84 ksc</v>
      </c>
      <c r="AF34" s="155"/>
      <c r="AG34" s="141"/>
      <c r="AO34" s="9" t="s">
        <v>51</v>
      </c>
      <c r="AP34" s="12"/>
      <c r="AQ34" s="13"/>
      <c r="AR34" s="5">
        <v>235.5</v>
      </c>
      <c r="AS34" s="5">
        <v>185</v>
      </c>
      <c r="AT34" s="5">
        <v>201000</v>
      </c>
      <c r="AU34" s="5">
        <v>10800</v>
      </c>
      <c r="AV34" s="5">
        <v>29.3</v>
      </c>
      <c r="AW34" s="5">
        <v>6.78</v>
      </c>
      <c r="AX34" s="5">
        <v>5760</v>
      </c>
      <c r="AY34" s="5">
        <v>722</v>
      </c>
      <c r="AZ34" s="5">
        <v>700</v>
      </c>
      <c r="BA34" s="5">
        <v>300</v>
      </c>
      <c r="BB34" s="5">
        <v>24</v>
      </c>
      <c r="BC34" s="5">
        <v>13</v>
      </c>
      <c r="BD34" s="5">
        <v>28</v>
      </c>
    </row>
    <row r="35" spans="1:56" s="28" customFormat="1" ht="15.75" customHeight="1" thickBot="1">
      <c r="A35" s="36"/>
      <c r="B35" s="66"/>
      <c r="C35" s="64"/>
      <c r="D35" s="64"/>
      <c r="E35" s="65"/>
      <c r="F35" s="175" t="s">
        <v>202</v>
      </c>
      <c r="G35" s="106" t="str">
        <f>Q43&amp;"cm"</f>
        <v>9.375cm</v>
      </c>
      <c r="H35" s="65"/>
      <c r="I35" s="65"/>
      <c r="J35" s="65"/>
      <c r="K35" s="25"/>
      <c r="L35" s="65"/>
      <c r="M35" s="26"/>
      <c r="N35" s="25"/>
      <c r="O35" s="25"/>
      <c r="P35" s="26"/>
      <c r="Q35" s="65"/>
      <c r="R35" s="37"/>
      <c r="S35" s="31"/>
      <c r="T35" s="35"/>
      <c r="Y35" s="30"/>
      <c r="AA35" s="35"/>
      <c r="AB35" s="30"/>
      <c r="AD35" s="35"/>
      <c r="AE35" s="35"/>
      <c r="AO35" s="9" t="s">
        <v>52</v>
      </c>
      <c r="AP35" s="12"/>
      <c r="AQ35" s="13"/>
      <c r="AR35" s="5">
        <v>267.4</v>
      </c>
      <c r="AS35" s="5">
        <v>210</v>
      </c>
      <c r="AT35" s="5">
        <v>292000</v>
      </c>
      <c r="AU35" s="5">
        <v>11700</v>
      </c>
      <c r="AV35" s="5">
        <v>33</v>
      </c>
      <c r="AW35" s="5">
        <v>6.62</v>
      </c>
      <c r="AX35" s="5">
        <v>7290</v>
      </c>
      <c r="AY35" s="5">
        <v>782</v>
      </c>
      <c r="AZ35" s="5">
        <v>800</v>
      </c>
      <c r="BA35" s="5">
        <v>300</v>
      </c>
      <c r="BB35" s="5">
        <v>26</v>
      </c>
      <c r="BC35" s="5">
        <v>14</v>
      </c>
      <c r="BD35" s="5">
        <v>28</v>
      </c>
    </row>
    <row r="36" spans="1:56" s="28" customFormat="1" ht="15.75" customHeight="1">
      <c r="A36" s="36"/>
      <c r="B36" s="66"/>
      <c r="C36" s="67"/>
      <c r="D36" s="94"/>
      <c r="E36" s="94"/>
      <c r="F36" s="97"/>
      <c r="G36" s="65"/>
      <c r="H36" s="65"/>
      <c r="I36" s="36"/>
      <c r="J36" s="36" t="s">
        <v>173</v>
      </c>
      <c r="K36" s="25"/>
      <c r="L36" s="72"/>
      <c r="M36" s="26"/>
      <c r="N36" s="25"/>
      <c r="O36" s="25"/>
      <c r="P36" s="26"/>
      <c r="Q36" s="25"/>
      <c r="R36" s="37"/>
      <c r="S36" s="36"/>
      <c r="T36" s="35"/>
      <c r="U36" s="156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2"/>
      <c r="AO36" s="9" t="s">
        <v>53</v>
      </c>
      <c r="AP36" s="12"/>
      <c r="AQ36" s="13"/>
      <c r="AR36" s="5">
        <v>309.8</v>
      </c>
      <c r="AS36" s="5">
        <v>243</v>
      </c>
      <c r="AT36" s="5">
        <v>411000</v>
      </c>
      <c r="AU36" s="5">
        <v>12600</v>
      </c>
      <c r="AV36" s="5">
        <v>36.4</v>
      </c>
      <c r="AW36" s="5">
        <v>6.39</v>
      </c>
      <c r="AX36" s="5">
        <v>9140</v>
      </c>
      <c r="AY36" s="5">
        <v>843</v>
      </c>
      <c r="AZ36" s="5">
        <v>900</v>
      </c>
      <c r="BA36" s="5">
        <v>300</v>
      </c>
      <c r="BB36" s="5">
        <v>28</v>
      </c>
      <c r="BC36" s="5">
        <v>16</v>
      </c>
      <c r="BD36" s="5">
        <v>28</v>
      </c>
    </row>
    <row r="37" spans="1:33" s="28" customFormat="1" ht="15.75" customHeight="1">
      <c r="A37" s="36"/>
      <c r="B37" s="66"/>
      <c r="C37" s="64"/>
      <c r="D37" s="67"/>
      <c r="E37" s="65"/>
      <c r="F37" s="65"/>
      <c r="G37" s="65"/>
      <c r="K37" s="65"/>
      <c r="M37" s="26" t="s">
        <v>0</v>
      </c>
      <c r="N37" s="65"/>
      <c r="O37" s="25" t="s">
        <v>127</v>
      </c>
      <c r="P37" s="26" t="s">
        <v>0</v>
      </c>
      <c r="Q37" s="25">
        <f>((Q28*Q34*N26)/2)-Q11</f>
        <v>2521.0526368690626</v>
      </c>
      <c r="R37" s="61" t="s">
        <v>174</v>
      </c>
      <c r="S37" s="36"/>
      <c r="T37" s="35"/>
      <c r="U37" s="133"/>
      <c r="V37" s="31"/>
      <c r="W37" s="31"/>
      <c r="X37" s="31"/>
      <c r="Y37" s="31"/>
      <c r="Z37" s="31"/>
      <c r="AA37" s="31"/>
      <c r="AB37" s="114" t="s">
        <v>148</v>
      </c>
      <c r="AC37" s="31"/>
      <c r="AD37" s="31"/>
      <c r="AE37" s="31"/>
      <c r="AF37" s="31"/>
      <c r="AG37" s="147"/>
    </row>
    <row r="38" spans="1:33" s="28" customFormat="1" ht="15.75" customHeight="1">
      <c r="A38" s="36"/>
      <c r="B38" s="66"/>
      <c r="C38" s="64"/>
      <c r="D38" s="64"/>
      <c r="E38" s="65"/>
      <c r="F38" s="65"/>
      <c r="G38" s="65"/>
      <c r="J38" s="65"/>
      <c r="K38" s="65"/>
      <c r="L38" s="25" t="s">
        <v>175</v>
      </c>
      <c r="M38" s="26" t="s">
        <v>0</v>
      </c>
      <c r="N38" s="65"/>
      <c r="O38" s="25" t="s">
        <v>176</v>
      </c>
      <c r="P38" s="26" t="s">
        <v>0</v>
      </c>
      <c r="Q38" s="25">
        <f>Q37/2</f>
        <v>1260.5263184345313</v>
      </c>
      <c r="R38" s="87" t="s">
        <v>177</v>
      </c>
      <c r="S38" s="36"/>
      <c r="T38" s="35"/>
      <c r="U38" s="133"/>
      <c r="V38" s="31"/>
      <c r="W38" s="31"/>
      <c r="X38" s="31"/>
      <c r="Y38" s="31"/>
      <c r="Z38" s="31"/>
      <c r="AA38" s="31"/>
      <c r="AB38" s="31" t="s">
        <v>149</v>
      </c>
      <c r="AC38" s="31"/>
      <c r="AD38" s="31"/>
      <c r="AE38" s="31"/>
      <c r="AF38" s="31"/>
      <c r="AG38" s="147"/>
    </row>
    <row r="39" spans="1:33" s="28" customFormat="1" ht="15.75" customHeight="1">
      <c r="A39" s="36"/>
      <c r="B39" s="66"/>
      <c r="C39" s="64"/>
      <c r="D39" s="64"/>
      <c r="E39" s="65"/>
      <c r="F39" s="65"/>
      <c r="G39" s="65"/>
      <c r="H39" s="65"/>
      <c r="I39" s="65"/>
      <c r="J39" s="65"/>
      <c r="K39" s="65"/>
      <c r="L39" s="65"/>
      <c r="M39" s="26"/>
      <c r="N39" s="119"/>
      <c r="O39" s="119"/>
      <c r="P39" s="119"/>
      <c r="Q39" s="119"/>
      <c r="R39" s="119"/>
      <c r="S39" s="36"/>
      <c r="T39" s="35"/>
      <c r="U39" s="133"/>
      <c r="V39" s="31"/>
      <c r="W39" s="31"/>
      <c r="X39" s="31"/>
      <c r="Y39" s="31"/>
      <c r="Z39" s="31"/>
      <c r="AA39" s="31"/>
      <c r="AB39" s="31" t="s">
        <v>150</v>
      </c>
      <c r="AC39" s="31"/>
      <c r="AD39" s="31"/>
      <c r="AE39" s="31"/>
      <c r="AF39" s="31"/>
      <c r="AG39" s="147"/>
    </row>
    <row r="40" spans="1:33" s="28" customFormat="1" ht="15.75" customHeight="1">
      <c r="A40" s="36"/>
      <c r="B40" s="66"/>
      <c r="C40" s="64"/>
      <c r="D40" s="64"/>
      <c r="E40" s="65"/>
      <c r="F40" s="65"/>
      <c r="G40" s="65"/>
      <c r="H40" s="70"/>
      <c r="I40" s="36"/>
      <c r="J40" s="36" t="s">
        <v>178</v>
      </c>
      <c r="K40" s="70"/>
      <c r="L40" s="65"/>
      <c r="M40" s="26"/>
      <c r="N40" s="65"/>
      <c r="O40" s="65"/>
      <c r="P40" s="65"/>
      <c r="Q40" s="73"/>
      <c r="R40" s="37"/>
      <c r="S40" s="85"/>
      <c r="T40" s="35"/>
      <c r="U40" s="133"/>
      <c r="V40" s="31"/>
      <c r="W40" s="31"/>
      <c r="X40" s="31"/>
      <c r="Y40" s="31"/>
      <c r="Z40" s="31"/>
      <c r="AA40" s="31"/>
      <c r="AB40" s="31" t="s">
        <v>151</v>
      </c>
      <c r="AC40" s="31"/>
      <c r="AD40" s="31"/>
      <c r="AE40" s="31"/>
      <c r="AF40" s="31"/>
      <c r="AG40" s="147"/>
    </row>
    <row r="41" spans="1:33" s="28" customFormat="1" ht="15.75" customHeight="1">
      <c r="A41" s="36"/>
      <c r="B41" s="66"/>
      <c r="C41" s="64"/>
      <c r="D41" s="64"/>
      <c r="E41" s="65"/>
      <c r="F41" s="65"/>
      <c r="G41" s="65"/>
      <c r="H41" s="25"/>
      <c r="I41" s="70"/>
      <c r="J41" s="25" t="s">
        <v>179</v>
      </c>
      <c r="K41" s="65"/>
      <c r="L41" s="70" t="s">
        <v>180</v>
      </c>
      <c r="M41" s="26"/>
      <c r="N41" s="25"/>
      <c r="O41" s="25" t="s">
        <v>3</v>
      </c>
      <c r="P41" s="26" t="s">
        <v>0</v>
      </c>
      <c r="Q41" s="73">
        <f>(N26-(0.95*(M16/10)))/2</f>
        <v>9.375</v>
      </c>
      <c r="R41" s="37" t="s">
        <v>15</v>
      </c>
      <c r="S41" s="36"/>
      <c r="T41" s="35"/>
      <c r="U41" s="133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147"/>
    </row>
    <row r="42" spans="1:33" s="28" customFormat="1" ht="15.75" customHeight="1">
      <c r="A42" s="36"/>
      <c r="B42" s="66"/>
      <c r="C42" s="64"/>
      <c r="D42" s="64"/>
      <c r="E42" s="65"/>
      <c r="F42" s="65"/>
      <c r="G42" s="65"/>
      <c r="H42" s="65"/>
      <c r="I42" s="65"/>
      <c r="J42" s="25"/>
      <c r="K42" s="70"/>
      <c r="L42" s="70" t="s">
        <v>181</v>
      </c>
      <c r="M42" s="26"/>
      <c r="O42" s="25" t="s">
        <v>22</v>
      </c>
      <c r="P42" s="26" t="s">
        <v>0</v>
      </c>
      <c r="Q42" s="73">
        <f>(Q26-(0.8*(N16/10)))/2</f>
        <v>19</v>
      </c>
      <c r="R42" s="37" t="s">
        <v>15</v>
      </c>
      <c r="S42" s="36"/>
      <c r="T42" s="35"/>
      <c r="U42" s="133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147"/>
    </row>
    <row r="43" spans="1:33" s="28" customFormat="1" ht="15.75" customHeight="1">
      <c r="A43" s="36"/>
      <c r="B43" s="87"/>
      <c r="C43" s="112" t="s">
        <v>169</v>
      </c>
      <c r="D43" s="112" t="str">
        <f>Q32&amp;"cm"</f>
        <v>22cm</v>
      </c>
      <c r="E43" s="65"/>
      <c r="F43" s="65"/>
      <c r="G43" s="65"/>
      <c r="H43" s="72"/>
      <c r="I43" s="65"/>
      <c r="J43" s="25"/>
      <c r="K43" s="70"/>
      <c r="L43" s="25"/>
      <c r="M43" s="26"/>
      <c r="N43" s="65"/>
      <c r="O43" s="25" t="s">
        <v>182</v>
      </c>
      <c r="P43" s="26" t="s">
        <v>0</v>
      </c>
      <c r="Q43" s="174">
        <f>Q41</f>
        <v>9.375</v>
      </c>
      <c r="R43" s="37" t="s">
        <v>15</v>
      </c>
      <c r="S43" s="36"/>
      <c r="T43" s="35"/>
      <c r="U43" s="133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147"/>
    </row>
    <row r="44" spans="1:33" s="28" customFormat="1" ht="15.75" customHeight="1">
      <c r="A44" s="36"/>
      <c r="B44" s="66"/>
      <c r="C44" s="64"/>
      <c r="D44" s="67">
        <f>Q38</f>
        <v>1260.5263184345313</v>
      </c>
      <c r="E44" s="65"/>
      <c r="F44" s="65"/>
      <c r="G44" s="65"/>
      <c r="H44" s="87"/>
      <c r="I44" s="87" t="s">
        <v>183</v>
      </c>
      <c r="J44" s="63"/>
      <c r="K44" s="65"/>
      <c r="L44" s="65"/>
      <c r="M44" s="26"/>
      <c r="N44" s="25"/>
      <c r="O44" s="65"/>
      <c r="P44" s="65"/>
      <c r="Q44" s="25"/>
      <c r="R44" s="37"/>
      <c r="S44" s="36"/>
      <c r="T44" s="35"/>
      <c r="U44" s="133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147"/>
    </row>
    <row r="45" spans="1:33" s="28" customFormat="1" ht="15.75" customHeight="1" thickBot="1">
      <c r="A45" s="36"/>
      <c r="B45" s="66"/>
      <c r="C45" s="64"/>
      <c r="D45" s="202"/>
      <c r="E45" s="202"/>
      <c r="F45" s="65"/>
      <c r="G45" s="65"/>
      <c r="H45" s="87"/>
      <c r="I45" s="70"/>
      <c r="J45" s="25"/>
      <c r="K45" s="65"/>
      <c r="L45" s="65"/>
      <c r="M45" s="26" t="s">
        <v>0</v>
      </c>
      <c r="N45" s="25"/>
      <c r="O45" s="65"/>
      <c r="P45" s="26" t="s">
        <v>0</v>
      </c>
      <c r="Q45" s="73">
        <f>(Q28/Q34)*(Q34-Q43)</f>
        <v>51.25313157960864</v>
      </c>
      <c r="R45" s="87" t="s">
        <v>1</v>
      </c>
      <c r="S45" s="36"/>
      <c r="T45" s="35"/>
      <c r="U45" s="138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41"/>
    </row>
    <row r="46" spans="1:20" s="28" customFormat="1" ht="15.75" customHeight="1">
      <c r="A46" s="36"/>
      <c r="B46" s="109"/>
      <c r="C46" s="90"/>
      <c r="D46" s="120"/>
      <c r="E46" s="120"/>
      <c r="F46" s="90"/>
      <c r="G46" s="203"/>
      <c r="H46" s="25" t="s">
        <v>166</v>
      </c>
      <c r="I46" s="70" t="str">
        <f>Q28&amp;"ksc"</f>
        <v>84ksc</v>
      </c>
      <c r="J46" s="65"/>
      <c r="K46" s="65"/>
      <c r="L46" s="65"/>
      <c r="M46" s="26"/>
      <c r="N46" s="25"/>
      <c r="O46" s="65"/>
      <c r="P46" s="65"/>
      <c r="Q46" s="65"/>
      <c r="R46" s="65"/>
      <c r="S46" s="36"/>
      <c r="T46" s="35"/>
    </row>
    <row r="47" spans="1:20" s="28" customFormat="1" ht="15.75" customHeight="1" thickBot="1">
      <c r="A47" s="36"/>
      <c r="B47" s="109"/>
      <c r="C47" s="67"/>
      <c r="D47" s="67"/>
      <c r="E47" s="107"/>
      <c r="F47" s="61"/>
      <c r="G47" s="203"/>
      <c r="H47" s="70"/>
      <c r="I47" s="70"/>
      <c r="J47" s="65"/>
      <c r="K47" s="65"/>
      <c r="L47" s="25"/>
      <c r="M47" s="26"/>
      <c r="N47" s="25"/>
      <c r="O47" s="65"/>
      <c r="P47" s="65"/>
      <c r="Q47" s="65"/>
      <c r="R47" s="65"/>
      <c r="S47" s="36"/>
      <c r="T47" s="35"/>
    </row>
    <row r="48" spans="1:43" s="28" customFormat="1" ht="15.75" customHeight="1">
      <c r="A48" s="36"/>
      <c r="B48" s="204"/>
      <c r="C48" s="64"/>
      <c r="D48" s="64"/>
      <c r="E48" s="25" t="s">
        <v>172</v>
      </c>
      <c r="F48" s="110">
        <f>Q34</f>
        <v>24.048101024207448</v>
      </c>
      <c r="G48" s="205"/>
      <c r="H48" s="36"/>
      <c r="I48" s="36"/>
      <c r="J48" s="65"/>
      <c r="K48" s="65"/>
      <c r="M48" s="26"/>
      <c r="N48" s="25"/>
      <c r="O48" s="65"/>
      <c r="P48" s="86"/>
      <c r="Q48" s="65"/>
      <c r="R48" s="65"/>
      <c r="S48" s="36"/>
      <c r="T48" s="35"/>
      <c r="U48" s="157" t="s">
        <v>152</v>
      </c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2"/>
    </row>
    <row r="49" spans="1:43" s="28" customFormat="1" ht="15.75" customHeight="1">
      <c r="A49" s="36"/>
      <c r="B49" s="204"/>
      <c r="C49" s="112"/>
      <c r="D49" s="110"/>
      <c r="E49" s="73" t="s">
        <v>165</v>
      </c>
      <c r="F49" s="73">
        <f>Q29</f>
        <v>48</v>
      </c>
      <c r="G49" s="205"/>
      <c r="H49" s="36"/>
      <c r="I49" s="31"/>
      <c r="J49" s="65"/>
      <c r="K49" s="65"/>
      <c r="L49" s="65"/>
      <c r="M49" s="26"/>
      <c r="N49" s="65"/>
      <c r="O49" s="65"/>
      <c r="P49" s="26"/>
      <c r="Q49" s="65"/>
      <c r="R49" s="65"/>
      <c r="S49" s="36"/>
      <c r="T49" s="35"/>
      <c r="U49" s="133" t="s">
        <v>153</v>
      </c>
      <c r="V49" s="31"/>
      <c r="W49" s="31"/>
      <c r="X49" s="31"/>
      <c r="Y49" s="92"/>
      <c r="Z49" s="70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147"/>
    </row>
    <row r="50" spans="1:43" s="28" customFormat="1" ht="15.75" customHeight="1">
      <c r="A50" s="36"/>
      <c r="B50" s="66"/>
      <c r="C50" s="64"/>
      <c r="D50" s="64"/>
      <c r="E50" s="160" t="s">
        <v>199</v>
      </c>
      <c r="F50" s="110">
        <f>N26</f>
        <v>52</v>
      </c>
      <c r="G50" s="65"/>
      <c r="H50" s="36"/>
      <c r="J50" s="65"/>
      <c r="K50" s="65"/>
      <c r="L50" s="65"/>
      <c r="M50" s="26"/>
      <c r="N50" s="25"/>
      <c r="O50" s="65"/>
      <c r="P50" s="26"/>
      <c r="Q50" s="65"/>
      <c r="R50" s="26"/>
      <c r="S50" s="36"/>
      <c r="T50" s="35"/>
      <c r="U50" s="133" t="s">
        <v>156</v>
      </c>
      <c r="V50" s="31"/>
      <c r="W50" s="31"/>
      <c r="X50" s="31"/>
      <c r="Y50" s="96"/>
      <c r="Z50" s="70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147"/>
    </row>
    <row r="51" spans="1:43" s="28" customFormat="1" ht="15.75" customHeight="1">
      <c r="A51" s="36"/>
      <c r="B51" s="66"/>
      <c r="C51" s="64"/>
      <c r="D51" s="64"/>
      <c r="E51" s="65"/>
      <c r="F51" s="61"/>
      <c r="G51" s="65"/>
      <c r="H51" s="36"/>
      <c r="J51" s="65"/>
      <c r="K51" s="65"/>
      <c r="L51" s="65"/>
      <c r="M51" s="26"/>
      <c r="N51" s="25"/>
      <c r="O51" s="65"/>
      <c r="P51" s="26"/>
      <c r="Q51" s="65"/>
      <c r="R51" s="26"/>
      <c r="S51" s="36"/>
      <c r="T51" s="35"/>
      <c r="U51" s="133" t="s">
        <v>158</v>
      </c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147"/>
    </row>
    <row r="52" spans="1:43" s="28" customFormat="1" ht="15.75" customHeight="1">
      <c r="A52" s="36"/>
      <c r="B52" s="66"/>
      <c r="C52" s="64"/>
      <c r="D52" s="64"/>
      <c r="E52" s="65"/>
      <c r="F52" s="61"/>
      <c r="G52" s="65"/>
      <c r="H52" s="36"/>
      <c r="J52" s="65"/>
      <c r="K52" s="65"/>
      <c r="L52" s="65"/>
      <c r="M52" s="26"/>
      <c r="N52" s="25"/>
      <c r="O52" s="65"/>
      <c r="P52" s="26"/>
      <c r="Q52" s="65"/>
      <c r="R52" s="26"/>
      <c r="S52" s="36"/>
      <c r="T52" s="35"/>
      <c r="U52" s="133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147"/>
    </row>
    <row r="53" spans="1:43" s="28" customFormat="1" ht="15.75" customHeight="1">
      <c r="A53" s="36"/>
      <c r="B53" s="66"/>
      <c r="C53" s="64"/>
      <c r="D53" s="64"/>
      <c r="E53" s="65"/>
      <c r="F53" s="91"/>
      <c r="H53" s="25"/>
      <c r="J53" s="65"/>
      <c r="K53" s="65"/>
      <c r="L53" s="65"/>
      <c r="M53" s="26"/>
      <c r="N53" s="116"/>
      <c r="O53" s="25"/>
      <c r="P53" s="26"/>
      <c r="Q53" s="65"/>
      <c r="R53" s="26"/>
      <c r="S53" s="36"/>
      <c r="T53" s="35"/>
      <c r="U53" s="133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147"/>
    </row>
    <row r="54" spans="1:43" s="28" customFormat="1" ht="15.75" customHeight="1">
      <c r="A54" s="36"/>
      <c r="B54" s="87" t="s">
        <v>184</v>
      </c>
      <c r="C54" s="64"/>
      <c r="D54" s="96"/>
      <c r="E54" s="65"/>
      <c r="F54" s="25"/>
      <c r="G54" s="126"/>
      <c r="H54" s="26" t="s">
        <v>0</v>
      </c>
      <c r="I54" s="25" t="s">
        <v>186</v>
      </c>
      <c r="J54" s="65"/>
      <c r="K54" s="65"/>
      <c r="L54" s="65"/>
      <c r="M54" s="26"/>
      <c r="N54" s="25"/>
      <c r="O54" s="25" t="s">
        <v>80</v>
      </c>
      <c r="P54" s="26" t="s">
        <v>0</v>
      </c>
      <c r="Q54" s="88">
        <f>(((Q43^2)*Q45)/6)+(((Q43^2)*Q28)/3)</f>
        <v>3211.7157946231737</v>
      </c>
      <c r="R54" s="87" t="s">
        <v>25</v>
      </c>
      <c r="S54" s="36"/>
      <c r="T54" s="35"/>
      <c r="U54" s="133"/>
      <c r="V54" s="31"/>
      <c r="W54" s="31"/>
      <c r="X54" s="31"/>
      <c r="Y54" s="31"/>
      <c r="Z54" s="31"/>
      <c r="AA54" s="31"/>
      <c r="AB54" s="42" t="s">
        <v>99</v>
      </c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42" t="s">
        <v>112</v>
      </c>
      <c r="AN54" s="2"/>
      <c r="AO54" s="2"/>
      <c r="AP54" s="2"/>
      <c r="AQ54" s="147"/>
    </row>
    <row r="55" spans="1:43" s="28" customFormat="1" ht="15.75" customHeight="1">
      <c r="A55" s="36"/>
      <c r="B55" s="66"/>
      <c r="C55" s="64"/>
      <c r="D55" s="206"/>
      <c r="E55" s="202"/>
      <c r="F55" s="65"/>
      <c r="G55" s="65"/>
      <c r="H55" s="65"/>
      <c r="I55" s="31"/>
      <c r="J55" s="65"/>
      <c r="K55" s="65"/>
      <c r="L55" s="65"/>
      <c r="M55" s="26"/>
      <c r="N55" s="26"/>
      <c r="O55" s="65"/>
      <c r="P55" s="26"/>
      <c r="Q55" s="65"/>
      <c r="R55" s="26"/>
      <c r="S55" s="36"/>
      <c r="T55" s="35"/>
      <c r="U55" s="133"/>
      <c r="V55" s="31"/>
      <c r="W55" s="31"/>
      <c r="X55" s="31"/>
      <c r="Y55" s="31"/>
      <c r="Z55" s="31"/>
      <c r="AA55" s="31"/>
      <c r="AB55" s="17" t="s">
        <v>100</v>
      </c>
      <c r="AC55" s="10" t="s">
        <v>126</v>
      </c>
      <c r="AD55" s="10"/>
      <c r="AE55" s="10"/>
      <c r="AF55" s="10"/>
      <c r="AG55" s="10"/>
      <c r="AH55" s="10"/>
      <c r="AI55" s="10"/>
      <c r="AJ55" s="10">
        <v>4200</v>
      </c>
      <c r="AK55" s="10" t="s">
        <v>1</v>
      </c>
      <c r="AL55" s="207" t="s">
        <v>108</v>
      </c>
      <c r="AM55" s="207"/>
      <c r="AN55" s="207"/>
      <c r="AO55" s="207"/>
      <c r="AP55" s="208"/>
      <c r="AQ55" s="147"/>
    </row>
    <row r="56" spans="1:43" s="28" customFormat="1" ht="15.75" customHeight="1">
      <c r="A56" s="36"/>
      <c r="B56" s="87" t="s">
        <v>185</v>
      </c>
      <c r="C56" s="64"/>
      <c r="D56" s="61"/>
      <c r="E56" s="65"/>
      <c r="F56" s="25"/>
      <c r="G56" s="31"/>
      <c r="H56" s="26" t="s">
        <v>0</v>
      </c>
      <c r="I56" s="65"/>
      <c r="J56" s="65"/>
      <c r="K56" s="65"/>
      <c r="L56" s="65"/>
      <c r="M56" s="26"/>
      <c r="N56" s="65"/>
      <c r="O56" s="25" t="s">
        <v>127</v>
      </c>
      <c r="P56" s="26" t="s">
        <v>0</v>
      </c>
      <c r="Q56" s="99">
        <f>(SQRT((6*Q54)/(0.75*Q7)))*10</f>
        <v>32.38400106186562</v>
      </c>
      <c r="R56" s="26" t="s">
        <v>16</v>
      </c>
      <c r="S56" s="36"/>
      <c r="T56" s="35"/>
      <c r="U56" s="133"/>
      <c r="V56" s="31"/>
      <c r="W56" s="31"/>
      <c r="X56" s="31"/>
      <c r="Y56" s="31"/>
      <c r="Z56" s="31"/>
      <c r="AA56" s="31"/>
      <c r="AB56" s="20" t="s">
        <v>101</v>
      </c>
      <c r="AC56" s="2" t="s">
        <v>126</v>
      </c>
      <c r="AD56" s="2"/>
      <c r="AE56" s="2"/>
      <c r="AF56" s="2"/>
      <c r="AG56" s="2"/>
      <c r="AH56" s="2"/>
      <c r="AI56" s="2"/>
      <c r="AJ56" s="2">
        <v>4900</v>
      </c>
      <c r="AK56" s="2" t="s">
        <v>1</v>
      </c>
      <c r="AL56" s="209" t="s">
        <v>109</v>
      </c>
      <c r="AM56" s="209"/>
      <c r="AN56" s="209"/>
      <c r="AO56" s="209"/>
      <c r="AP56" s="210"/>
      <c r="AQ56" s="147"/>
    </row>
    <row r="57" spans="1:43" s="28" customFormat="1" ht="15.75" customHeight="1">
      <c r="A57" s="36"/>
      <c r="B57" s="66"/>
      <c r="C57" s="64"/>
      <c r="D57" s="64"/>
      <c r="E57" s="65"/>
      <c r="F57" s="65"/>
      <c r="G57" s="31"/>
      <c r="H57" s="65"/>
      <c r="I57" s="65"/>
      <c r="J57" s="65"/>
      <c r="K57" s="65"/>
      <c r="L57" s="65"/>
      <c r="M57" s="65"/>
      <c r="N57" s="65"/>
      <c r="O57" s="72" t="s">
        <v>187</v>
      </c>
      <c r="P57" s="26" t="s">
        <v>0</v>
      </c>
      <c r="Q57" s="113">
        <f>ROUNDUP(Q56,0)</f>
        <v>33</v>
      </c>
      <c r="R57" s="26" t="s">
        <v>16</v>
      </c>
      <c r="S57" s="36"/>
      <c r="T57" s="35"/>
      <c r="U57" s="133"/>
      <c r="V57" s="31"/>
      <c r="W57" s="31"/>
      <c r="X57" s="31"/>
      <c r="Y57" s="31"/>
      <c r="Z57" s="31"/>
      <c r="AA57" s="31"/>
      <c r="AB57" s="22" t="s">
        <v>102</v>
      </c>
      <c r="AC57" s="3" t="s">
        <v>126</v>
      </c>
      <c r="AD57" s="3"/>
      <c r="AE57" s="3"/>
      <c r="AF57" s="3"/>
      <c r="AG57" s="3"/>
      <c r="AH57" s="3"/>
      <c r="AI57" s="3"/>
      <c r="AJ57" s="3">
        <v>5600</v>
      </c>
      <c r="AK57" s="3" t="s">
        <v>1</v>
      </c>
      <c r="AL57" s="211" t="s">
        <v>110</v>
      </c>
      <c r="AM57" s="211"/>
      <c r="AN57" s="211"/>
      <c r="AO57" s="211"/>
      <c r="AP57" s="212"/>
      <c r="AQ57" s="147"/>
    </row>
    <row r="58" spans="1:43" s="28" customFormat="1" ht="15.75" customHeight="1">
      <c r="A58" s="36"/>
      <c r="B58" s="36"/>
      <c r="C58" s="64"/>
      <c r="D58" s="64"/>
      <c r="E58" s="65"/>
      <c r="F58" s="65"/>
      <c r="G58" s="65"/>
      <c r="H58" s="117" t="s">
        <v>11</v>
      </c>
      <c r="I58" s="36" t="s">
        <v>147</v>
      </c>
      <c r="J58" s="65"/>
      <c r="K58" s="65"/>
      <c r="L58" s="25"/>
      <c r="M58" s="26"/>
      <c r="N58" s="25"/>
      <c r="O58" s="65"/>
      <c r="P58" s="86"/>
      <c r="Q58" s="25"/>
      <c r="R58" s="87"/>
      <c r="S58" s="36"/>
      <c r="T58" s="35"/>
      <c r="U58" s="133"/>
      <c r="V58" s="76"/>
      <c r="W58" s="31"/>
      <c r="X58" s="31"/>
      <c r="Y58" s="31"/>
      <c r="Z58" s="31"/>
      <c r="AA58" s="31"/>
      <c r="AB58" s="42" t="s">
        <v>107</v>
      </c>
      <c r="AC58" s="2"/>
      <c r="AD58" s="2"/>
      <c r="AE58" s="2"/>
      <c r="AF58" s="2"/>
      <c r="AG58" s="2"/>
      <c r="AH58" s="2"/>
      <c r="AI58" s="2"/>
      <c r="AJ58" s="2"/>
      <c r="AK58" s="42" t="s">
        <v>113</v>
      </c>
      <c r="AL58" s="42"/>
      <c r="AM58" s="2"/>
      <c r="AN58" s="2"/>
      <c r="AO58" s="2"/>
      <c r="AP58" s="2"/>
      <c r="AQ58" s="147"/>
    </row>
    <row r="59" spans="1:43" s="28" customFormat="1" ht="15.75" customHeight="1">
      <c r="A59" s="36"/>
      <c r="B59" s="31"/>
      <c r="C59" s="64"/>
      <c r="D59" s="64"/>
      <c r="E59" s="65"/>
      <c r="F59" s="65"/>
      <c r="G59" s="65"/>
      <c r="H59" s="36"/>
      <c r="I59" s="31" t="s">
        <v>155</v>
      </c>
      <c r="J59" s="65"/>
      <c r="K59" s="65"/>
      <c r="L59" s="65"/>
      <c r="M59" s="26"/>
      <c r="N59" s="65"/>
      <c r="O59" s="65"/>
      <c r="P59" s="26" t="s">
        <v>0</v>
      </c>
      <c r="Q59" s="25">
        <f>((2*N16)-P16)/10</f>
        <v>34.3</v>
      </c>
      <c r="R59" s="61" t="s">
        <v>15</v>
      </c>
      <c r="S59" s="36"/>
      <c r="T59" s="35"/>
      <c r="U59" s="133"/>
      <c r="V59" s="31"/>
      <c r="W59" s="31"/>
      <c r="X59" s="31"/>
      <c r="Y59" s="31"/>
      <c r="Z59" s="31"/>
      <c r="AA59" s="74"/>
      <c r="AB59" s="17" t="s">
        <v>100</v>
      </c>
      <c r="AC59" s="39">
        <f>0.3*AJ55</f>
        <v>1260</v>
      </c>
      <c r="AD59" s="10" t="s">
        <v>1</v>
      </c>
      <c r="AE59" s="27"/>
      <c r="AF59" s="40"/>
      <c r="AG59" s="2"/>
      <c r="AH59" s="2"/>
      <c r="AI59" s="2"/>
      <c r="AJ59" s="213" t="s">
        <v>114</v>
      </c>
      <c r="AK59" s="214"/>
      <c r="AL59" s="214"/>
      <c r="AM59" s="214" t="s">
        <v>122</v>
      </c>
      <c r="AN59" s="214"/>
      <c r="AO59" s="217"/>
      <c r="AP59" s="2"/>
      <c r="AQ59" s="147"/>
    </row>
    <row r="60" spans="1:43" s="28" customFormat="1" ht="15.75" customHeight="1">
      <c r="A60" s="36"/>
      <c r="B60" s="31"/>
      <c r="C60" s="108"/>
      <c r="D60" s="64"/>
      <c r="E60" s="65"/>
      <c r="F60" s="65"/>
      <c r="G60" s="65"/>
      <c r="H60" s="36"/>
      <c r="I60" s="28" t="s">
        <v>157</v>
      </c>
      <c r="J60" s="65"/>
      <c r="K60" s="65"/>
      <c r="L60" s="65"/>
      <c r="M60" s="26"/>
      <c r="N60" s="25"/>
      <c r="O60" s="25" t="s">
        <v>127</v>
      </c>
      <c r="P60" s="26" t="s">
        <v>0</v>
      </c>
      <c r="Q60" s="127">
        <f>((Q12)/(((M16-O16)/10)/100))</f>
        <v>29498.525073746314</v>
      </c>
      <c r="R60" s="25" t="s">
        <v>5</v>
      </c>
      <c r="S60" s="36"/>
      <c r="T60" s="35"/>
      <c r="U60" s="133"/>
      <c r="V60" s="31" t="s">
        <v>154</v>
      </c>
      <c r="W60" s="77"/>
      <c r="X60" s="31"/>
      <c r="Y60" s="31"/>
      <c r="Z60" s="31"/>
      <c r="AA60" s="74"/>
      <c r="AB60" s="20" t="s">
        <v>101</v>
      </c>
      <c r="AC60" s="33">
        <f>0.3*AJ56</f>
        <v>1470</v>
      </c>
      <c r="AD60" s="2" t="s">
        <v>1</v>
      </c>
      <c r="AE60" s="2"/>
      <c r="AF60" s="21"/>
      <c r="AG60" s="2"/>
      <c r="AH60" s="2"/>
      <c r="AI60" s="2"/>
      <c r="AJ60" s="215"/>
      <c r="AK60" s="216"/>
      <c r="AL60" s="216"/>
      <c r="AM60" s="216"/>
      <c r="AN60" s="216"/>
      <c r="AO60" s="218"/>
      <c r="AP60" s="2"/>
      <c r="AQ60" s="147"/>
    </row>
    <row r="61" spans="1:43" s="28" customFormat="1" ht="15.75" customHeight="1">
      <c r="A61" s="36"/>
      <c r="B61" s="66"/>
      <c r="C61" s="64"/>
      <c r="D61" s="64"/>
      <c r="E61" s="65"/>
      <c r="F61" s="65"/>
      <c r="G61" s="65"/>
      <c r="H61" s="25"/>
      <c r="I61" s="28" t="s">
        <v>106</v>
      </c>
      <c r="J61" s="65"/>
      <c r="K61" s="65"/>
      <c r="L61" s="65"/>
      <c r="M61" s="26" t="s">
        <v>0</v>
      </c>
      <c r="N61" s="116" t="s">
        <v>105</v>
      </c>
      <c r="O61" s="32" t="s">
        <v>101</v>
      </c>
      <c r="P61" s="25" t="s">
        <v>124</v>
      </c>
      <c r="Q61" s="25">
        <f>IF(O61=AB59,AC59,IF(O61=AB60,AC60,IF(O61=AB61,AC61,0)))</f>
        <v>1470</v>
      </c>
      <c r="R61" s="25" t="s">
        <v>1</v>
      </c>
      <c r="S61" s="36"/>
      <c r="T61" s="35"/>
      <c r="U61" s="133"/>
      <c r="V61" s="31"/>
      <c r="W61" s="31"/>
      <c r="X61" s="31"/>
      <c r="Y61" s="31"/>
      <c r="Z61" s="31"/>
      <c r="AA61" s="31"/>
      <c r="AB61" s="22" t="s">
        <v>102</v>
      </c>
      <c r="AC61" s="41">
        <f>0.3*AJ57</f>
        <v>1680</v>
      </c>
      <c r="AD61" s="3" t="s">
        <v>1</v>
      </c>
      <c r="AE61" s="3"/>
      <c r="AF61" s="23"/>
      <c r="AG61" s="2"/>
      <c r="AH61" s="2"/>
      <c r="AI61" s="2"/>
      <c r="AJ61" s="221" t="s">
        <v>115</v>
      </c>
      <c r="AK61" s="209"/>
      <c r="AL61" s="209"/>
      <c r="AM61" s="2"/>
      <c r="AN61" s="4">
        <v>3</v>
      </c>
      <c r="AO61" s="21"/>
      <c r="AP61" s="2"/>
      <c r="AQ61" s="147"/>
    </row>
    <row r="62" spans="1:43" s="28" customFormat="1" ht="15.75" customHeight="1">
      <c r="A62" s="36"/>
      <c r="B62" s="36"/>
      <c r="C62" s="36"/>
      <c r="D62" s="36"/>
      <c r="E62" s="36"/>
      <c r="F62" s="36"/>
      <c r="G62" s="71"/>
      <c r="H62" s="65"/>
      <c r="I62" s="37" t="s">
        <v>125</v>
      </c>
      <c r="J62" s="65"/>
      <c r="K62" s="65"/>
      <c r="L62" s="65"/>
      <c r="M62" s="26" t="s">
        <v>0</v>
      </c>
      <c r="N62" s="25" t="s">
        <v>78</v>
      </c>
      <c r="O62" s="1" t="s">
        <v>104</v>
      </c>
      <c r="P62" s="65"/>
      <c r="Q62" s="25"/>
      <c r="R62" s="61"/>
      <c r="S62" s="31"/>
      <c r="U62" s="133"/>
      <c r="V62" s="31"/>
      <c r="W62" s="31"/>
      <c r="X62" s="31"/>
      <c r="Y62" s="31"/>
      <c r="Z62" s="31"/>
      <c r="AA62" s="31"/>
      <c r="AB62" s="2"/>
      <c r="AC62" s="2" t="s">
        <v>103</v>
      </c>
      <c r="AD62" s="2"/>
      <c r="AE62" s="4" t="s">
        <v>78</v>
      </c>
      <c r="AF62" s="11" t="s">
        <v>104</v>
      </c>
      <c r="AG62" s="2"/>
      <c r="AH62" s="2"/>
      <c r="AI62" s="2"/>
      <c r="AJ62" s="221" t="s">
        <v>116</v>
      </c>
      <c r="AK62" s="209"/>
      <c r="AL62" s="209"/>
      <c r="AM62" s="2"/>
      <c r="AN62" s="4">
        <v>5</v>
      </c>
      <c r="AO62" s="21"/>
      <c r="AP62" s="2"/>
      <c r="AQ62" s="147"/>
    </row>
    <row r="63" spans="1:43" s="28" customFormat="1" ht="15.75" customHeight="1">
      <c r="A63" s="31"/>
      <c r="B63" s="70"/>
      <c r="D63" s="31"/>
      <c r="E63" s="31"/>
      <c r="F63" s="31"/>
      <c r="G63" s="71"/>
      <c r="H63" s="65"/>
      <c r="I63" s="31" t="s">
        <v>111</v>
      </c>
      <c r="J63" s="65"/>
      <c r="K63" s="65"/>
      <c r="L63" s="65"/>
      <c r="M63" s="26" t="s">
        <v>0</v>
      </c>
      <c r="N63" s="26" t="s">
        <v>123</v>
      </c>
      <c r="O63" s="65"/>
      <c r="P63" s="26" t="s">
        <v>0</v>
      </c>
      <c r="Q63" s="99">
        <f>(Q60)/(0.707*1*Q61*Q59)</f>
        <v>0.8275027261615981</v>
      </c>
      <c r="R63" s="61" t="s">
        <v>15</v>
      </c>
      <c r="S63" s="31"/>
      <c r="U63" s="133"/>
      <c r="V63" s="31"/>
      <c r="W63" s="31"/>
      <c r="X63" s="31"/>
      <c r="Y63" s="31"/>
      <c r="Z63" s="31"/>
      <c r="AA63" s="31"/>
      <c r="AB63" s="2"/>
      <c r="AC63" s="2"/>
      <c r="AD63" s="2"/>
      <c r="AE63" s="2"/>
      <c r="AF63" s="2"/>
      <c r="AG63" s="2"/>
      <c r="AH63" s="2"/>
      <c r="AI63" s="2"/>
      <c r="AJ63" s="221" t="s">
        <v>117</v>
      </c>
      <c r="AK63" s="209"/>
      <c r="AL63" s="209"/>
      <c r="AM63" s="2"/>
      <c r="AN63" s="4">
        <v>6</v>
      </c>
      <c r="AO63" s="21"/>
      <c r="AP63" s="2"/>
      <c r="AQ63" s="147"/>
    </row>
    <row r="64" spans="1:43" s="28" customFormat="1" ht="15.75" customHeight="1">
      <c r="A64" s="31"/>
      <c r="B64" s="70"/>
      <c r="D64" s="31"/>
      <c r="E64" s="31"/>
      <c r="F64" s="31"/>
      <c r="G64" s="71"/>
      <c r="H64" s="115"/>
      <c r="I64" s="31"/>
      <c r="J64" s="31"/>
      <c r="K64" s="31"/>
      <c r="L64" s="31"/>
      <c r="M64" s="26"/>
      <c r="N64" s="37" t="s">
        <v>188</v>
      </c>
      <c r="O64" s="25"/>
      <c r="P64" s="26" t="s">
        <v>0</v>
      </c>
      <c r="Q64" s="113">
        <f>ROUNDUP(Q63,0)*10</f>
        <v>10</v>
      </c>
      <c r="R64" s="61" t="s">
        <v>16</v>
      </c>
      <c r="S64" s="31"/>
      <c r="U64" s="133"/>
      <c r="V64" s="31"/>
      <c r="W64" s="31"/>
      <c r="X64" s="31"/>
      <c r="Y64" s="31"/>
      <c r="Z64" s="31"/>
      <c r="AA64" s="31"/>
      <c r="AB64" s="2"/>
      <c r="AC64" s="2"/>
      <c r="AD64" s="2"/>
      <c r="AE64" s="2"/>
      <c r="AF64" s="2"/>
      <c r="AG64" s="2"/>
      <c r="AH64" s="2"/>
      <c r="AI64" s="2"/>
      <c r="AJ64" s="221" t="s">
        <v>118</v>
      </c>
      <c r="AK64" s="209"/>
      <c r="AL64" s="209"/>
      <c r="AM64" s="2"/>
      <c r="AN64" s="4">
        <v>8</v>
      </c>
      <c r="AO64" s="21"/>
      <c r="AP64" s="2"/>
      <c r="AQ64" s="147"/>
    </row>
    <row r="65" spans="1:43" s="28" customFormat="1" ht="15.75" customHeight="1">
      <c r="A65" s="31"/>
      <c r="B65" s="70"/>
      <c r="D65" s="31"/>
      <c r="E65" s="31"/>
      <c r="F65" s="31"/>
      <c r="G65" s="71"/>
      <c r="H65" s="115"/>
      <c r="I65" s="31"/>
      <c r="J65" s="31"/>
      <c r="K65" s="31"/>
      <c r="L65" s="31"/>
      <c r="M65" s="26"/>
      <c r="N65" s="116"/>
      <c r="O65" s="25"/>
      <c r="P65" s="25"/>
      <c r="Q65" s="25"/>
      <c r="R65" s="25"/>
      <c r="S65" s="31"/>
      <c r="U65" s="133"/>
      <c r="V65" s="31"/>
      <c r="W65" s="31"/>
      <c r="X65" s="31"/>
      <c r="Y65" s="31"/>
      <c r="Z65" s="31"/>
      <c r="AA65" s="92"/>
      <c r="AB65" s="2"/>
      <c r="AC65" s="2"/>
      <c r="AD65" s="2"/>
      <c r="AE65" s="2"/>
      <c r="AF65" s="2"/>
      <c r="AG65" s="2"/>
      <c r="AH65" s="2"/>
      <c r="AI65" s="2"/>
      <c r="AJ65" s="221" t="s">
        <v>119</v>
      </c>
      <c r="AK65" s="209"/>
      <c r="AL65" s="209"/>
      <c r="AM65" s="2"/>
      <c r="AN65" s="4">
        <v>8</v>
      </c>
      <c r="AO65" s="21"/>
      <c r="AP65" s="2"/>
      <c r="AQ65" s="147"/>
    </row>
    <row r="66" spans="1:43" s="28" customFormat="1" ht="15.75" customHeight="1">
      <c r="A66" s="31"/>
      <c r="B66" s="70"/>
      <c r="D66" s="31"/>
      <c r="E66" s="31"/>
      <c r="F66" s="31"/>
      <c r="G66" s="25"/>
      <c r="H66" s="37"/>
      <c r="I66" s="31"/>
      <c r="J66" s="31"/>
      <c r="K66" s="31"/>
      <c r="L66" s="1"/>
      <c r="M66" s="26"/>
      <c r="N66" s="25"/>
      <c r="O66" s="61"/>
      <c r="P66" s="31"/>
      <c r="Q66" s="61"/>
      <c r="R66" s="61"/>
      <c r="S66" s="83"/>
      <c r="U66" s="133"/>
      <c r="V66" s="31"/>
      <c r="W66" s="31"/>
      <c r="X66" s="31"/>
      <c r="Y66" s="31"/>
      <c r="Z66" s="31"/>
      <c r="AA66" s="96"/>
      <c r="AB66" s="2"/>
      <c r="AC66" s="2"/>
      <c r="AD66" s="2"/>
      <c r="AE66" s="2"/>
      <c r="AF66" s="2"/>
      <c r="AG66" s="2"/>
      <c r="AH66" s="2"/>
      <c r="AI66" s="2"/>
      <c r="AJ66" s="221" t="s">
        <v>120</v>
      </c>
      <c r="AK66" s="209"/>
      <c r="AL66" s="209"/>
      <c r="AM66" s="2"/>
      <c r="AN66" s="4">
        <v>8</v>
      </c>
      <c r="AO66" s="21"/>
      <c r="AP66" s="2"/>
      <c r="AQ66" s="147"/>
    </row>
    <row r="67" spans="1:43" s="28" customFormat="1" ht="15.75" customHeight="1">
      <c r="A67" s="36" t="s">
        <v>206</v>
      </c>
      <c r="B67" s="158" t="s">
        <v>205</v>
      </c>
      <c r="D67" s="31"/>
      <c r="E67" s="31"/>
      <c r="F67" s="31"/>
      <c r="G67" s="25"/>
      <c r="H67" s="31"/>
      <c r="K67" s="31"/>
      <c r="L67" s="31"/>
      <c r="M67" s="26"/>
      <c r="N67" s="26"/>
      <c r="O67" s="61"/>
      <c r="P67" s="31"/>
      <c r="Q67" s="61"/>
      <c r="R67" s="61"/>
      <c r="S67" s="31"/>
      <c r="U67" s="133"/>
      <c r="V67" s="31"/>
      <c r="W67" s="31"/>
      <c r="X67" s="31"/>
      <c r="Y67" s="31"/>
      <c r="Z67" s="31"/>
      <c r="AA67" s="31"/>
      <c r="AB67" s="2"/>
      <c r="AC67" s="2"/>
      <c r="AD67" s="2"/>
      <c r="AE67" s="2"/>
      <c r="AF67" s="2"/>
      <c r="AG67" s="2"/>
      <c r="AH67" s="2"/>
      <c r="AI67" s="2"/>
      <c r="AJ67" s="219" t="s">
        <v>121</v>
      </c>
      <c r="AK67" s="211"/>
      <c r="AL67" s="211"/>
      <c r="AM67" s="3"/>
      <c r="AN67" s="15">
        <v>8</v>
      </c>
      <c r="AO67" s="23"/>
      <c r="AP67" s="2"/>
      <c r="AQ67" s="147"/>
    </row>
    <row r="68" spans="1:43" s="28" customFormat="1" ht="15.75" customHeight="1" thickBot="1">
      <c r="A68" s="31"/>
      <c r="B68" s="70"/>
      <c r="C68" s="223" t="s">
        <v>207</v>
      </c>
      <c r="D68" s="42"/>
      <c r="E68" s="42"/>
      <c r="F68" s="223" t="str">
        <f>N26&amp;" "&amp;"x"&amp;" "&amp;Q26&amp;" "&amp;"Thinkness"&amp;" "&amp;Q57&amp;"mm"</f>
        <v>52 x 52 Thinkness 33mm</v>
      </c>
      <c r="G68" s="222"/>
      <c r="H68" s="31"/>
      <c r="I68" s="224" t="s">
        <v>208</v>
      </c>
      <c r="K68" s="31"/>
      <c r="L68" s="31"/>
      <c r="M68" s="224" t="str">
        <f>ROUNDUP(Q59*2,0)*10&amp;" "&amp;"mm"&amp;" / 2 Side"</f>
        <v>690 mm / 2 Side</v>
      </c>
      <c r="N68" s="224"/>
      <c r="O68" s="224" t="str">
        <f>","&amp;"Welding Type"&amp;" "&amp;O61</f>
        <v>,Welding Type E70</v>
      </c>
      <c r="P68" s="31"/>
      <c r="R68" s="74"/>
      <c r="S68" s="31"/>
      <c r="U68" s="138"/>
      <c r="V68" s="139" t="s">
        <v>159</v>
      </c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41"/>
    </row>
    <row r="69" spans="1:19" s="28" customFormat="1" ht="15.75" customHeight="1">
      <c r="A69" s="31"/>
      <c r="C69" s="42"/>
      <c r="D69" s="42"/>
      <c r="E69" s="42"/>
      <c r="F69" s="42" t="str">
        <f>"Leg size"&amp;" "&amp;Q64&amp;" "&amp;"mm"</f>
        <v>Leg size 10 mm</v>
      </c>
      <c r="G69" s="222"/>
      <c r="H69" s="70"/>
      <c r="I69" s="31"/>
      <c r="J69" s="31"/>
      <c r="K69" s="31"/>
      <c r="L69" s="31"/>
      <c r="M69" s="26"/>
      <c r="O69" s="74"/>
      <c r="P69" s="31"/>
      <c r="Q69" s="74"/>
      <c r="R69" s="70"/>
      <c r="S69" s="31"/>
    </row>
    <row r="70" spans="1:19" s="28" customFormat="1" ht="15.75" customHeight="1">
      <c r="A70" s="31"/>
      <c r="D70" s="31"/>
      <c r="E70" s="31"/>
      <c r="F70" s="31"/>
      <c r="G70" s="25" t="s">
        <v>88</v>
      </c>
      <c r="H70" s="70"/>
      <c r="I70" s="31"/>
      <c r="J70" s="31"/>
      <c r="K70" s="31"/>
      <c r="L70" s="31"/>
      <c r="M70" s="73"/>
      <c r="O70" s="31"/>
      <c r="P70" s="31"/>
      <c r="Q70" s="75"/>
      <c r="R70" s="37"/>
      <c r="S70" s="31"/>
    </row>
    <row r="71" spans="1:19" s="28" customFormat="1" ht="15.75" customHeight="1">
      <c r="A71" s="38"/>
      <c r="B71" s="38"/>
      <c r="C71" s="38"/>
      <c r="D71" s="38"/>
      <c r="E71" s="38"/>
      <c r="F71" s="38"/>
      <c r="G71" s="43"/>
      <c r="H71" s="176"/>
      <c r="I71" s="38"/>
      <c r="J71" s="38"/>
      <c r="K71" s="38"/>
      <c r="L71" s="38"/>
      <c r="M71" s="177"/>
      <c r="N71" s="38"/>
      <c r="O71" s="38"/>
      <c r="P71" s="38"/>
      <c r="Q71" s="178"/>
      <c r="R71" s="179"/>
      <c r="S71" s="38"/>
    </row>
    <row r="72" spans="1:19" s="28" customFormat="1" ht="15.75" customHeight="1">
      <c r="A72" s="31"/>
      <c r="B72" s="77"/>
      <c r="D72" s="31"/>
      <c r="E72" s="31"/>
      <c r="F72" s="31"/>
      <c r="G72" s="25"/>
      <c r="I72" s="31"/>
      <c r="J72" s="31"/>
      <c r="K72" s="31"/>
      <c r="L72" s="31"/>
      <c r="M72" s="73"/>
      <c r="O72" s="31"/>
      <c r="P72" s="31"/>
      <c r="Q72" s="74"/>
      <c r="R72" s="72"/>
      <c r="S72" s="31"/>
    </row>
    <row r="73" spans="1:19" s="28" customFormat="1" ht="15.75" customHeight="1">
      <c r="A73" s="31"/>
      <c r="B73" s="77"/>
      <c r="C73" s="31"/>
      <c r="D73" s="31"/>
      <c r="E73" s="31"/>
      <c r="F73" s="31"/>
      <c r="G73" s="25"/>
      <c r="H73" s="70"/>
      <c r="I73" s="31"/>
      <c r="J73" s="31"/>
      <c r="K73" s="31"/>
      <c r="L73" s="31"/>
      <c r="M73" s="73"/>
      <c r="O73" s="31"/>
      <c r="P73" s="31"/>
      <c r="Q73" s="74"/>
      <c r="R73" s="70"/>
      <c r="S73" s="31"/>
    </row>
    <row r="74" spans="1:19" s="28" customFormat="1" ht="15.75" customHeight="1">
      <c r="A74" s="31"/>
      <c r="C74" s="31"/>
      <c r="D74" s="31"/>
      <c r="E74" s="31"/>
      <c r="F74" s="31"/>
      <c r="G74" s="25"/>
      <c r="H74" s="220"/>
      <c r="I74" s="220"/>
      <c r="J74" s="31"/>
      <c r="K74" s="31"/>
      <c r="L74" s="31"/>
      <c r="M74" s="73"/>
      <c r="O74" s="31"/>
      <c r="P74" s="31"/>
      <c r="Q74" s="74"/>
      <c r="R74" s="70"/>
      <c r="S74" s="84"/>
    </row>
    <row r="75" spans="1:19" s="28" customFormat="1" ht="15.75" customHeight="1">
      <c r="A75" s="31"/>
      <c r="B75" s="31"/>
      <c r="C75" s="31"/>
      <c r="D75" s="31"/>
      <c r="E75" s="31"/>
      <c r="F75" s="31"/>
      <c r="G75" s="71"/>
      <c r="H75" s="72"/>
      <c r="I75" s="31"/>
      <c r="J75" s="31"/>
      <c r="K75" s="31"/>
      <c r="L75" s="31"/>
      <c r="M75" s="73"/>
      <c r="O75" s="31"/>
      <c r="P75" s="31"/>
      <c r="Q75" s="78"/>
      <c r="R75" s="70"/>
      <c r="S75" s="31"/>
    </row>
    <row r="76" spans="1:19" s="28" customFormat="1" ht="15.75" customHeight="1">
      <c r="A76" s="36"/>
      <c r="B76" s="36"/>
      <c r="C76" s="36"/>
      <c r="D76" s="36"/>
      <c r="E76" s="31"/>
      <c r="F76" s="31"/>
      <c r="G76" s="71"/>
      <c r="H76" s="72"/>
      <c r="I76" s="31"/>
      <c r="J76" s="31"/>
      <c r="K76" s="31"/>
      <c r="L76" s="31"/>
      <c r="M76" s="73"/>
      <c r="O76" s="31"/>
      <c r="P76" s="31"/>
      <c r="Q76" s="78"/>
      <c r="R76" s="70"/>
      <c r="S76" s="31"/>
    </row>
    <row r="77" spans="1:19" s="28" customFormat="1" ht="15.75" customHeight="1">
      <c r="A77" s="31"/>
      <c r="B77" s="31"/>
      <c r="C77" s="31"/>
      <c r="D77" s="31"/>
      <c r="E77" s="31"/>
      <c r="F77" s="31"/>
      <c r="G77" s="71"/>
      <c r="H77" s="72"/>
      <c r="I77" s="31"/>
      <c r="J77" s="31"/>
      <c r="K77" s="31"/>
      <c r="L77" s="31"/>
      <c r="M77" s="73"/>
      <c r="O77" s="31"/>
      <c r="P77" s="31"/>
      <c r="Q77" s="92"/>
      <c r="R77" s="70"/>
      <c r="S77" s="31"/>
    </row>
    <row r="78" spans="1:19" s="28" customFormat="1" ht="15.75" customHeight="1">
      <c r="A78" s="31"/>
      <c r="B78" s="31"/>
      <c r="C78" s="31"/>
      <c r="D78" s="31"/>
      <c r="E78" s="31"/>
      <c r="F78" s="31"/>
      <c r="G78" s="71"/>
      <c r="H78" s="72"/>
      <c r="I78" s="31"/>
      <c r="J78" s="31"/>
      <c r="K78" s="31"/>
      <c r="L78" s="31"/>
      <c r="M78" s="73"/>
      <c r="O78" s="31"/>
      <c r="P78" s="31"/>
      <c r="Q78" s="93"/>
      <c r="R78" s="70"/>
      <c r="S78" s="31"/>
    </row>
    <row r="79" spans="1:19" s="28" customFormat="1" ht="15.75" customHeight="1">
      <c r="A79" s="31"/>
      <c r="B79" s="31"/>
      <c r="C79" s="31"/>
      <c r="D79" s="31"/>
      <c r="E79" s="31"/>
      <c r="F79" s="31"/>
      <c r="G79" s="71"/>
      <c r="H79" s="72"/>
      <c r="I79" s="31"/>
      <c r="J79" s="31"/>
      <c r="K79" s="31"/>
      <c r="L79" s="31"/>
      <c r="M79" s="73"/>
      <c r="O79" s="31"/>
      <c r="P79" s="31"/>
      <c r="Q79" s="78"/>
      <c r="R79" s="70"/>
      <c r="S79" s="31"/>
    </row>
    <row r="80" spans="1:19" s="28" customFormat="1" ht="15.75" customHeight="1">
      <c r="A80" s="31"/>
      <c r="B80" s="31"/>
      <c r="C80" s="31"/>
      <c r="D80" s="31"/>
      <c r="E80" s="31"/>
      <c r="F80" s="31"/>
      <c r="G80" s="71"/>
      <c r="H80" s="72"/>
      <c r="I80" s="31"/>
      <c r="J80" s="31"/>
      <c r="K80" s="31"/>
      <c r="L80" s="31"/>
      <c r="M80" s="73"/>
      <c r="O80" s="31"/>
      <c r="P80" s="31"/>
      <c r="Q80" s="78"/>
      <c r="R80" s="70"/>
      <c r="S80" s="31"/>
    </row>
    <row r="81" spans="1:19" s="28" customFormat="1" ht="15.75" customHeight="1">
      <c r="A81" s="31"/>
      <c r="B81" s="31"/>
      <c r="C81" s="31"/>
      <c r="D81" s="31"/>
      <c r="E81" s="31"/>
      <c r="F81" s="31"/>
      <c r="G81" s="71"/>
      <c r="H81" s="72"/>
      <c r="I81" s="31"/>
      <c r="J81" s="31"/>
      <c r="K81" s="31"/>
      <c r="L81" s="31"/>
      <c r="M81" s="73"/>
      <c r="O81" s="31"/>
      <c r="P81" s="31"/>
      <c r="Q81" s="78"/>
      <c r="R81" s="70"/>
      <c r="S81" s="31"/>
    </row>
    <row r="82" spans="1:19" s="28" customFormat="1" ht="15.75" customHeight="1">
      <c r="A82" s="31"/>
      <c r="B82" s="31"/>
      <c r="C82" s="31"/>
      <c r="D82" s="31"/>
      <c r="E82" s="31"/>
      <c r="F82" s="31"/>
      <c r="G82" s="71"/>
      <c r="H82" s="72"/>
      <c r="I82" s="31"/>
      <c r="J82" s="31"/>
      <c r="K82" s="31"/>
      <c r="L82" s="31"/>
      <c r="M82" s="73"/>
      <c r="O82" s="31"/>
      <c r="P82" s="31"/>
      <c r="Q82" s="78"/>
      <c r="R82" s="70"/>
      <c r="S82" s="31"/>
    </row>
    <row r="83" spans="1:19" s="28" customFormat="1" ht="15.75" customHeight="1">
      <c r="A83" s="31"/>
      <c r="B83" s="31"/>
      <c r="C83" s="31"/>
      <c r="D83" s="31"/>
      <c r="E83" s="31"/>
      <c r="F83" s="31"/>
      <c r="G83" s="71"/>
      <c r="H83" s="72"/>
      <c r="I83" s="31"/>
      <c r="J83" s="31"/>
      <c r="K83" s="31"/>
      <c r="L83" s="31"/>
      <c r="M83" s="73"/>
      <c r="O83" s="31"/>
      <c r="P83" s="31"/>
      <c r="Q83" s="78"/>
      <c r="R83" s="70"/>
      <c r="S83" s="31"/>
    </row>
    <row r="84" spans="1:19" s="28" customFormat="1" ht="15.75" customHeight="1">
      <c r="A84" s="31"/>
      <c r="B84" s="31"/>
      <c r="C84" s="31"/>
      <c r="D84" s="31"/>
      <c r="E84" s="31"/>
      <c r="F84" s="31"/>
      <c r="G84" s="71"/>
      <c r="H84" s="72"/>
      <c r="I84" s="31"/>
      <c r="J84" s="31"/>
      <c r="K84" s="31"/>
      <c r="L84" s="31"/>
      <c r="M84" s="73"/>
      <c r="O84" s="31"/>
      <c r="P84" s="31"/>
      <c r="Q84" s="78"/>
      <c r="R84" s="70"/>
      <c r="S84" s="31"/>
    </row>
    <row r="85" spans="1:19" s="28" customFormat="1" ht="15.75" customHeight="1">
      <c r="A85" s="31"/>
      <c r="B85" s="31"/>
      <c r="C85" s="31"/>
      <c r="D85" s="31"/>
      <c r="E85" s="31"/>
      <c r="F85" s="31"/>
      <c r="G85" s="71"/>
      <c r="H85" s="72"/>
      <c r="I85" s="31"/>
      <c r="J85" s="31"/>
      <c r="K85" s="31"/>
      <c r="L85" s="31"/>
      <c r="M85" s="73"/>
      <c r="O85" s="31"/>
      <c r="P85" s="31"/>
      <c r="Q85" s="78"/>
      <c r="R85" s="70"/>
      <c r="S85" s="31"/>
    </row>
    <row r="86" spans="1:19" s="28" customFormat="1" ht="15.75" customHeight="1">
      <c r="A86" s="31"/>
      <c r="B86" s="31"/>
      <c r="C86" s="31"/>
      <c r="D86" s="31"/>
      <c r="E86" s="31"/>
      <c r="F86" s="31"/>
      <c r="G86" s="71"/>
      <c r="H86" s="72"/>
      <c r="I86" s="31"/>
      <c r="J86" s="31"/>
      <c r="K86" s="31"/>
      <c r="L86" s="31"/>
      <c r="M86" s="73"/>
      <c r="O86" s="31"/>
      <c r="P86" s="31"/>
      <c r="Q86" s="78"/>
      <c r="R86" s="70"/>
      <c r="S86" s="31"/>
    </row>
    <row r="87" spans="1:19" s="28" customFormat="1" ht="15.75" customHeight="1">
      <c r="A87" s="31"/>
      <c r="B87" s="31"/>
      <c r="C87" s="31"/>
      <c r="D87" s="31"/>
      <c r="E87" s="31"/>
      <c r="F87" s="31"/>
      <c r="G87" s="71"/>
      <c r="H87" s="72"/>
      <c r="I87" s="31"/>
      <c r="J87" s="31"/>
      <c r="K87" s="31"/>
      <c r="L87" s="31"/>
      <c r="M87" s="73"/>
      <c r="O87" s="31"/>
      <c r="P87" s="31"/>
      <c r="Q87" s="78"/>
      <c r="R87" s="70"/>
      <c r="S87" s="31"/>
    </row>
    <row r="88" spans="1:19" s="28" customFormat="1" ht="15.75" customHeight="1">
      <c r="A88" s="31"/>
      <c r="B88" s="31"/>
      <c r="C88" s="31"/>
      <c r="D88" s="31"/>
      <c r="E88" s="31"/>
      <c r="F88" s="31"/>
      <c r="G88" s="71"/>
      <c r="H88" s="72"/>
      <c r="I88" s="31"/>
      <c r="J88" s="31"/>
      <c r="K88" s="31"/>
      <c r="L88" s="31"/>
      <c r="M88" s="73"/>
      <c r="O88" s="31"/>
      <c r="P88" s="31"/>
      <c r="Q88" s="78"/>
      <c r="R88" s="70"/>
      <c r="S88" s="31"/>
    </row>
    <row r="89" spans="1:19" s="28" customFormat="1" ht="15.75" customHeight="1">
      <c r="A89" s="31"/>
      <c r="B89" s="31"/>
      <c r="C89" s="31"/>
      <c r="D89" s="31"/>
      <c r="E89" s="31"/>
      <c r="F89" s="31"/>
      <c r="G89" s="71"/>
      <c r="H89" s="72"/>
      <c r="I89" s="31"/>
      <c r="J89" s="31"/>
      <c r="K89" s="31"/>
      <c r="L89" s="31"/>
      <c r="M89" s="73"/>
      <c r="O89" s="31"/>
      <c r="P89" s="31"/>
      <c r="Q89" s="78"/>
      <c r="R89" s="70"/>
      <c r="S89" s="31"/>
    </row>
    <row r="90" spans="1:19" s="28" customFormat="1" ht="15.75" customHeight="1">
      <c r="A90" s="31"/>
      <c r="B90" s="31"/>
      <c r="C90" s="31"/>
      <c r="D90" s="31"/>
      <c r="E90" s="31"/>
      <c r="F90" s="31"/>
      <c r="G90" s="71"/>
      <c r="H90" s="72"/>
      <c r="I90" s="31"/>
      <c r="J90" s="31"/>
      <c r="K90" s="31"/>
      <c r="L90" s="31"/>
      <c r="M90" s="73"/>
      <c r="O90" s="31"/>
      <c r="P90" s="31"/>
      <c r="Q90" s="78"/>
      <c r="R90" s="70"/>
      <c r="S90" s="31"/>
    </row>
    <row r="91" spans="1:19" s="28" customFormat="1" ht="15.75" customHeight="1">
      <c r="A91" s="31"/>
      <c r="B91" s="31"/>
      <c r="C91" s="31"/>
      <c r="D91" s="31"/>
      <c r="E91" s="31"/>
      <c r="F91" s="31"/>
      <c r="G91" s="71"/>
      <c r="H91" s="72"/>
      <c r="I91" s="31"/>
      <c r="J91" s="31"/>
      <c r="K91" s="31"/>
      <c r="L91" s="31"/>
      <c r="M91" s="73"/>
      <c r="O91" s="31"/>
      <c r="P91" s="31"/>
      <c r="Q91" s="78"/>
      <c r="R91" s="70"/>
      <c r="S91" s="31"/>
    </row>
    <row r="92" spans="1:19" s="28" customFormat="1" ht="15.75" customHeight="1">
      <c r="A92" s="31"/>
      <c r="B92" s="31"/>
      <c r="C92" s="31"/>
      <c r="D92" s="31"/>
      <c r="E92" s="31"/>
      <c r="F92" s="31"/>
      <c r="G92" s="71"/>
      <c r="H92" s="72"/>
      <c r="I92" s="31"/>
      <c r="J92" s="31"/>
      <c r="K92" s="31"/>
      <c r="L92" s="31"/>
      <c r="M92" s="73"/>
      <c r="O92" s="31"/>
      <c r="P92" s="31"/>
      <c r="Q92" s="78"/>
      <c r="R92" s="70"/>
      <c r="S92" s="31"/>
    </row>
    <row r="93" spans="1:19" s="28" customFormat="1" ht="15.75" customHeight="1">
      <c r="A93" s="31"/>
      <c r="B93" s="31"/>
      <c r="C93" s="31"/>
      <c r="D93" s="31"/>
      <c r="E93" s="31"/>
      <c r="F93" s="31"/>
      <c r="G93" s="71"/>
      <c r="H93" s="72"/>
      <c r="I93" s="31"/>
      <c r="J93" s="31"/>
      <c r="K93" s="31"/>
      <c r="L93" s="31"/>
      <c r="M93" s="73"/>
      <c r="O93" s="31"/>
      <c r="P93" s="31"/>
      <c r="Q93" s="78"/>
      <c r="R93" s="70"/>
      <c r="S93" s="31"/>
    </row>
    <row r="94" spans="1:13" s="28" customFormat="1" ht="15.75" customHeight="1">
      <c r="A94" s="31"/>
      <c r="B94" s="31"/>
      <c r="C94" s="31"/>
      <c r="D94" s="31"/>
      <c r="E94" s="31"/>
      <c r="F94" s="31"/>
      <c r="G94" s="71"/>
      <c r="H94" s="72"/>
      <c r="I94" s="31"/>
      <c r="J94" s="31"/>
      <c r="K94" s="31"/>
      <c r="L94" s="31"/>
      <c r="M94" s="73"/>
    </row>
    <row r="95" spans="1:13" s="28" customFormat="1" ht="15.75" customHeight="1">
      <c r="A95" s="31"/>
      <c r="B95" s="31"/>
      <c r="C95" s="31"/>
      <c r="D95" s="31"/>
      <c r="E95" s="31"/>
      <c r="F95" s="31"/>
      <c r="G95" s="71"/>
      <c r="H95" s="72"/>
      <c r="I95" s="31"/>
      <c r="J95" s="31"/>
      <c r="K95" s="31"/>
      <c r="L95" s="31"/>
      <c r="M95" s="73"/>
    </row>
    <row r="96" s="28" customFormat="1" ht="15.75" customHeight="1"/>
    <row r="97" s="28" customFormat="1" ht="15.75" customHeight="1"/>
    <row r="98" s="28" customFormat="1" ht="15.75" customHeight="1"/>
    <row r="99" s="28" customFormat="1" ht="15.75" customHeight="1"/>
    <row r="100" s="28" customFormat="1" ht="16.5" customHeight="1"/>
    <row r="101" s="28" customFormat="1" ht="16.5" customHeight="1"/>
    <row r="102" s="28" customFormat="1" ht="16.5" customHeight="1"/>
    <row r="103" s="28" customFormat="1" ht="16.5" customHeight="1"/>
    <row r="104" s="28" customFormat="1" ht="16.5" customHeight="1"/>
    <row r="105" s="28" customFormat="1" ht="16.5" customHeight="1"/>
    <row r="106" s="28" customFormat="1" ht="16.5" customHeight="1"/>
    <row r="107" s="28" customFormat="1" ht="16.5" customHeight="1"/>
    <row r="108" s="28" customFormat="1" ht="16.5" customHeight="1"/>
    <row r="109" s="28" customFormat="1" ht="16.5" customHeight="1"/>
    <row r="110" s="28" customFormat="1" ht="16.5" customHeight="1"/>
    <row r="111" s="28" customFormat="1" ht="16.5" customHeight="1"/>
    <row r="112" s="28" customFormat="1" ht="16.5" customHeight="1"/>
    <row r="113" s="28" customFormat="1" ht="16.5" customHeight="1"/>
    <row r="114" s="28" customFormat="1" ht="16.5" customHeight="1"/>
    <row r="115" s="28" customFormat="1" ht="16.5" customHeight="1"/>
    <row r="116" s="28" customFormat="1" ht="16.5" customHeight="1"/>
    <row r="117" s="28" customFormat="1" ht="16.5" customHeight="1"/>
    <row r="118" s="28" customFormat="1" ht="16.5" customHeight="1"/>
    <row r="119" s="28" customFormat="1" ht="16.5" customHeight="1"/>
    <row r="120" s="28" customFormat="1" ht="16.5" customHeight="1"/>
    <row r="121" s="28" customFormat="1" ht="16.5" customHeight="1"/>
    <row r="122" s="28" customFormat="1" ht="16.5" customHeight="1"/>
    <row r="123" s="28" customFormat="1" ht="16.5" customHeight="1"/>
    <row r="124" s="28" customFormat="1" ht="16.5" customHeight="1"/>
    <row r="125" s="28" customFormat="1" ht="16.5" customHeight="1"/>
    <row r="126" s="28" customFormat="1" ht="16.5" customHeight="1"/>
    <row r="127" s="28" customFormat="1" ht="16.5" customHeight="1"/>
    <row r="128" s="28" customFormat="1" ht="16.5" customHeight="1"/>
    <row r="129" s="28" customFormat="1" ht="16.5" customHeight="1"/>
    <row r="130" s="28" customFormat="1" ht="16.5" customHeight="1"/>
    <row r="131" s="28" customFormat="1" ht="16.5" customHeight="1"/>
    <row r="132" s="28" customFormat="1" ht="16.5" customHeight="1"/>
    <row r="133" s="28" customFormat="1" ht="16.5" customHeight="1"/>
    <row r="134" s="28" customFormat="1" ht="16.5" customHeight="1"/>
    <row r="135" s="28" customFormat="1" ht="16.5" customHeight="1"/>
    <row r="136" s="28" customFormat="1" ht="16.5" customHeight="1"/>
    <row r="137" s="28" customFormat="1" ht="16.5" customHeight="1"/>
    <row r="138" s="28" customFormat="1" ht="16.5" customHeight="1"/>
    <row r="139" s="28" customFormat="1" ht="16.5" customHeight="1"/>
    <row r="140" s="28" customFormat="1" ht="16.5" customHeight="1"/>
    <row r="141" s="28" customFormat="1" ht="16.5" customHeight="1"/>
    <row r="142" s="28" customFormat="1" ht="16.5" customHeight="1"/>
    <row r="143" s="28" customFormat="1" ht="16.5" customHeight="1"/>
    <row r="144" s="28" customFormat="1" ht="16.5" customHeight="1"/>
    <row r="145" s="28" customFormat="1" ht="16.5" customHeight="1"/>
    <row r="146" s="28" customFormat="1" ht="16.5" customHeight="1"/>
    <row r="147" s="28" customFormat="1" ht="16.5" customHeight="1"/>
    <row r="148" s="28" customFormat="1" ht="16.5" customHeight="1"/>
    <row r="149" s="28" customFormat="1" ht="16.5" customHeight="1"/>
    <row r="150" s="28" customFormat="1" ht="16.5" customHeight="1"/>
    <row r="151" s="28" customFormat="1" ht="16.5" customHeight="1"/>
    <row r="152" s="28" customFormat="1" ht="16.5" customHeight="1"/>
    <row r="153" s="28" customFormat="1" ht="16.5" customHeight="1"/>
    <row r="154" s="28" customFormat="1" ht="16.5" customHeight="1"/>
    <row r="155" s="28" customFormat="1" ht="16.5" customHeight="1"/>
    <row r="156" s="28" customFormat="1" ht="16.5" customHeight="1"/>
    <row r="157" s="28" customFormat="1" ht="16.5" customHeight="1"/>
    <row r="158" s="28" customFormat="1" ht="16.5" customHeight="1"/>
    <row r="159" s="28" customFormat="1" ht="16.5" customHeight="1"/>
    <row r="160" s="28" customFormat="1" ht="16.5" customHeight="1"/>
    <row r="161" s="28" customFormat="1" ht="16.5" customHeight="1"/>
    <row r="162" s="28" customFormat="1" ht="16.5" customHeight="1"/>
    <row r="163" s="28" customFormat="1" ht="16.5" customHeight="1"/>
    <row r="164" s="28" customFormat="1" ht="16.5" customHeight="1"/>
    <row r="165" s="28" customFormat="1" ht="16.5" customHeight="1"/>
    <row r="166" s="28" customFormat="1" ht="16.5" customHeight="1"/>
    <row r="167" s="28" customFormat="1" ht="16.5" customHeight="1"/>
    <row r="168" s="28" customFormat="1" ht="16.5" customHeight="1"/>
    <row r="169" s="28" customFormat="1" ht="16.5" customHeight="1"/>
    <row r="170" s="28" customFormat="1" ht="16.5" customHeight="1"/>
    <row r="171" s="28" customFormat="1" ht="16.5" customHeight="1"/>
    <row r="172" s="28" customFormat="1" ht="16.5" customHeight="1"/>
    <row r="173" s="28" customFormat="1" ht="16.5" customHeight="1"/>
    <row r="174" s="28" customFormat="1" ht="16.5" customHeight="1"/>
    <row r="175" s="28" customFormat="1" ht="16.5" customHeight="1"/>
    <row r="176" s="28" customFormat="1" ht="16.5" customHeight="1"/>
    <row r="177" s="28" customFormat="1" ht="16.5" customHeight="1"/>
    <row r="178" s="28" customFormat="1" ht="16.5" customHeight="1"/>
    <row r="179" s="28" customFormat="1" ht="16.5" customHeight="1"/>
    <row r="180" s="28" customFormat="1" ht="16.5" customHeight="1"/>
    <row r="181" s="28" customFormat="1" ht="16.5" customHeight="1"/>
    <row r="182" s="28" customFormat="1" ht="16.5" customHeight="1"/>
    <row r="183" s="28" customFormat="1" ht="16.5" customHeight="1"/>
    <row r="184" s="28" customFormat="1" ht="16.5" customHeight="1"/>
    <row r="185" s="28" customFormat="1" ht="16.5" customHeight="1"/>
    <row r="186" s="28" customFormat="1" ht="16.5" customHeight="1"/>
    <row r="187" s="28" customFormat="1" ht="16.5" customHeight="1"/>
    <row r="188" s="28" customFormat="1" ht="16.5" customHeight="1"/>
    <row r="189" s="28" customFormat="1" ht="16.5" customHeight="1"/>
    <row r="190" s="28" customFormat="1" ht="16.5" customHeight="1"/>
    <row r="191" s="28" customFormat="1" ht="16.5" customHeight="1"/>
    <row r="192" s="28" customFormat="1" ht="16.5" customHeight="1"/>
    <row r="193" s="28" customFormat="1" ht="16.5" customHeight="1"/>
    <row r="194" s="28" customFormat="1" ht="16.5" customHeight="1"/>
    <row r="195" s="28" customFormat="1" ht="16.5" customHeight="1"/>
    <row r="196" s="28" customFormat="1" ht="16.5" customHeight="1"/>
    <row r="197" s="28" customFormat="1" ht="16.5" customHeight="1"/>
    <row r="198" s="28" customFormat="1" ht="16.5" customHeight="1"/>
    <row r="199" s="28" customFormat="1" ht="16.5" customHeight="1"/>
    <row r="200" s="28" customFormat="1" ht="16.5" customHeight="1"/>
    <row r="201" s="28" customFormat="1" ht="16.5" customHeight="1"/>
    <row r="202" s="28" customFormat="1" ht="16.5" customHeight="1"/>
    <row r="203" s="28" customFormat="1" ht="16.5" customHeight="1"/>
    <row r="204" s="28" customFormat="1" ht="16.5" customHeight="1"/>
    <row r="205" s="28" customFormat="1" ht="16.5" customHeight="1"/>
    <row r="206" s="28" customFormat="1" ht="16.5" customHeight="1"/>
    <row r="207" s="28" customFormat="1" ht="16.5" customHeight="1"/>
    <row r="208" s="28" customFormat="1" ht="16.5" customHeight="1"/>
    <row r="209" s="28" customFormat="1" ht="16.5" customHeight="1"/>
    <row r="210" s="28" customFormat="1" ht="16.5" customHeight="1"/>
    <row r="211" s="28" customFormat="1" ht="16.5" customHeight="1"/>
    <row r="212" s="28" customFormat="1" ht="16.5" customHeight="1"/>
    <row r="213" s="28" customFormat="1" ht="16.5" customHeight="1"/>
    <row r="214" s="28" customFormat="1" ht="16.5" customHeight="1"/>
    <row r="215" s="28" customFormat="1" ht="16.5" customHeight="1"/>
    <row r="216" s="28" customFormat="1" ht="16.5" customHeight="1"/>
    <row r="217" s="28" customFormat="1" ht="16.5" customHeight="1"/>
    <row r="218" s="28" customFormat="1" ht="16.5" customHeight="1"/>
    <row r="219" s="28" customFormat="1" ht="16.5" customHeight="1"/>
    <row r="220" s="28" customFormat="1" ht="16.5" customHeight="1"/>
    <row r="221" s="28" customFormat="1" ht="16.5" customHeight="1"/>
    <row r="222" s="28" customFormat="1" ht="16.5" customHeight="1"/>
    <row r="223" s="28" customFormat="1" ht="16.5" customHeight="1"/>
    <row r="224" s="28" customFormat="1" ht="16.5" customHeight="1"/>
    <row r="225" s="28" customFormat="1" ht="16.5" customHeight="1"/>
    <row r="226" s="28" customFormat="1" ht="16.5" customHeight="1"/>
    <row r="227" s="28" customFormat="1" ht="16.5" customHeight="1"/>
    <row r="228" s="28" customFormat="1" ht="16.5" customHeight="1"/>
    <row r="229" s="28" customFormat="1" ht="16.5" customHeight="1"/>
    <row r="230" s="28" customFormat="1" ht="16.5" customHeight="1"/>
    <row r="231" s="28" customFormat="1" ht="16.5" customHeight="1"/>
    <row r="232" s="28" customFormat="1" ht="16.5" customHeight="1"/>
    <row r="233" s="28" customFormat="1" ht="16.5" customHeight="1"/>
    <row r="234" s="28" customFormat="1" ht="16.5" customHeight="1"/>
    <row r="235" s="28" customFormat="1" ht="16.5" customHeight="1"/>
    <row r="236" s="28" customFormat="1" ht="16.5" customHeight="1"/>
    <row r="237" s="28" customFormat="1" ht="16.5" customHeight="1"/>
    <row r="238" s="28" customFormat="1" ht="16.5" customHeight="1"/>
    <row r="239" s="28" customFormat="1" ht="16.5" customHeight="1"/>
    <row r="240" s="28" customFormat="1" ht="16.5" customHeight="1"/>
    <row r="241" s="28" customFormat="1" ht="16.5" customHeight="1"/>
    <row r="242" s="28" customFormat="1" ht="16.5" customHeight="1"/>
    <row r="243" s="28" customFormat="1" ht="16.5" customHeight="1"/>
    <row r="244" s="28" customFormat="1" ht="16.5" customHeight="1"/>
    <row r="245" s="28" customFormat="1" ht="16.5" customHeight="1"/>
    <row r="246" s="28" customFormat="1" ht="16.5" customHeight="1"/>
    <row r="247" s="28" customFormat="1" ht="16.5" customHeight="1"/>
    <row r="248" s="28" customFormat="1" ht="16.5" customHeight="1"/>
    <row r="249" s="28" customFormat="1" ht="16.5" customHeight="1"/>
    <row r="250" s="28" customFormat="1" ht="16.5" customHeight="1"/>
    <row r="251" s="28" customFormat="1" ht="16.5" customHeight="1"/>
    <row r="252" s="28" customFormat="1" ht="16.5" customHeight="1"/>
    <row r="253" s="28" customFormat="1" ht="16.5" customHeight="1"/>
    <row r="254" s="28" customFormat="1" ht="16.5" customHeight="1"/>
    <row r="255" s="28" customFormat="1" ht="16.5" customHeight="1"/>
    <row r="256" s="28" customFormat="1" ht="16.5" customHeight="1"/>
    <row r="257" s="28" customFormat="1" ht="16.5" customHeight="1"/>
    <row r="258" s="28" customFormat="1" ht="16.5" customHeight="1"/>
    <row r="259" s="28" customFormat="1" ht="16.5" customHeight="1"/>
    <row r="260" s="28" customFormat="1" ht="16.5" customHeight="1"/>
    <row r="261" s="28" customFormat="1" ht="16.5" customHeight="1"/>
    <row r="262" s="28" customFormat="1" ht="16.5" customHeight="1"/>
    <row r="263" s="28" customFormat="1" ht="16.5" customHeight="1"/>
    <row r="264" s="28" customFormat="1" ht="16.5" customHeight="1"/>
    <row r="265" s="28" customFormat="1" ht="16.5" customHeight="1"/>
    <row r="266" s="28" customFormat="1" ht="16.5" customHeight="1"/>
    <row r="267" s="28" customFormat="1" ht="16.5" customHeight="1"/>
    <row r="268" s="28" customFormat="1" ht="16.5" customHeight="1"/>
    <row r="269" s="28" customFormat="1" ht="16.5" customHeight="1"/>
    <row r="270" s="28" customFormat="1" ht="16.5" customHeight="1"/>
    <row r="271" s="28" customFormat="1" ht="16.5" customHeight="1"/>
    <row r="272" s="28" customFormat="1" ht="16.5" customHeight="1"/>
    <row r="273" s="28" customFormat="1" ht="16.5" customHeight="1"/>
    <row r="274" s="28" customFormat="1" ht="16.5" customHeight="1"/>
    <row r="275" s="28" customFormat="1" ht="16.5" customHeight="1"/>
    <row r="276" s="28" customFormat="1" ht="16.5" customHeight="1"/>
    <row r="277" s="28" customFormat="1" ht="16.5" customHeight="1"/>
    <row r="278" s="28" customFormat="1" ht="16.5" customHeight="1"/>
    <row r="279" s="28" customFormat="1" ht="16.5" customHeight="1"/>
    <row r="280" s="28" customFormat="1" ht="16.5" customHeight="1"/>
    <row r="281" s="28" customFormat="1" ht="16.5" customHeight="1"/>
    <row r="282" s="28" customFormat="1" ht="16.5" customHeight="1"/>
    <row r="283" s="28" customFormat="1" ht="16.5" customHeight="1"/>
    <row r="284" s="28" customFormat="1" ht="16.5" customHeight="1"/>
    <row r="285" s="28" customFormat="1" ht="16.5" customHeight="1"/>
    <row r="286" s="28" customFormat="1" ht="16.5" customHeight="1"/>
    <row r="287" s="28" customFormat="1" ht="16.5" customHeight="1"/>
    <row r="288" s="28" customFormat="1" ht="16.5" customHeight="1"/>
    <row r="289" s="28" customFormat="1" ht="16.5" customHeight="1"/>
    <row r="290" s="28" customFormat="1" ht="16.5" customHeight="1"/>
    <row r="291" s="28" customFormat="1" ht="16.5" customHeight="1"/>
    <row r="292" s="28" customFormat="1" ht="16.5" customHeight="1"/>
    <row r="293" s="28" customFormat="1" ht="16.5" customHeight="1"/>
    <row r="294" s="28" customFormat="1" ht="16.5" customHeight="1"/>
    <row r="295" s="28" customFormat="1" ht="16.5" customHeight="1"/>
    <row r="296" s="28" customFormat="1" ht="16.5" customHeight="1"/>
    <row r="297" s="28" customFormat="1" ht="16.5" customHeight="1"/>
    <row r="298" s="28" customFormat="1" ht="16.5" customHeight="1"/>
    <row r="299" s="28" customFormat="1" ht="16.5" customHeight="1"/>
    <row r="300" s="28" customFormat="1" ht="16.5" customHeight="1"/>
    <row r="301" s="28" customFormat="1" ht="16.5" customHeight="1"/>
    <row r="302" s="28" customFormat="1" ht="16.5" customHeight="1"/>
    <row r="303" s="28" customFormat="1" ht="16.5" customHeight="1"/>
    <row r="304" s="28" customFormat="1" ht="16.5" customHeight="1"/>
    <row r="305" s="28" customFormat="1" ht="16.5" customHeight="1"/>
    <row r="306" s="28" customFormat="1" ht="16.5" customHeight="1"/>
    <row r="307" s="28" customFormat="1" ht="16.5" customHeight="1"/>
    <row r="308" s="28" customFormat="1" ht="16.5" customHeight="1"/>
    <row r="309" s="28" customFormat="1" ht="16.5" customHeight="1"/>
    <row r="310" s="28" customFormat="1" ht="16.5" customHeight="1"/>
    <row r="311" s="28" customFormat="1" ht="16.5" customHeight="1"/>
    <row r="312" s="28" customFormat="1" ht="16.5" customHeight="1"/>
    <row r="313" s="28" customFormat="1" ht="16.5" customHeight="1"/>
    <row r="314" s="28" customFormat="1" ht="16.5" customHeight="1"/>
    <row r="315" s="28" customFormat="1" ht="16.5" customHeight="1"/>
    <row r="316" s="28" customFormat="1" ht="16.5" customHeight="1"/>
    <row r="317" s="28" customFormat="1" ht="16.5" customHeight="1"/>
    <row r="318" s="28" customFormat="1" ht="16.5" customHeight="1"/>
    <row r="319" s="28" customFormat="1" ht="16.5" customHeight="1"/>
    <row r="320" s="28" customFormat="1" ht="16.5" customHeight="1"/>
    <row r="321" s="28" customFormat="1" ht="16.5" customHeight="1"/>
    <row r="322" s="28" customFormat="1" ht="16.5" customHeight="1"/>
    <row r="323" s="28" customFormat="1" ht="16.5" customHeight="1"/>
    <row r="324" s="28" customFormat="1" ht="16.5" customHeight="1"/>
    <row r="325" s="28" customFormat="1" ht="16.5" customHeight="1"/>
    <row r="326" s="28" customFormat="1" ht="16.5" customHeight="1"/>
    <row r="327" s="28" customFormat="1" ht="16.5" customHeight="1"/>
    <row r="328" s="28" customFormat="1" ht="16.5" customHeight="1"/>
    <row r="329" s="28" customFormat="1" ht="16.5" customHeight="1"/>
    <row r="330" s="28" customFormat="1" ht="16.5" customHeight="1"/>
    <row r="331" s="28" customFormat="1" ht="16.5" customHeight="1"/>
    <row r="332" s="28" customFormat="1" ht="16.5" customHeight="1"/>
    <row r="333" s="28" customFormat="1" ht="16.5" customHeight="1"/>
    <row r="334" s="28" customFormat="1" ht="16.5" customHeight="1"/>
    <row r="335" s="28" customFormat="1" ht="16.5" customHeight="1"/>
    <row r="336" s="28" customFormat="1" ht="16.5" customHeight="1"/>
    <row r="337" s="28" customFormat="1" ht="16.5" customHeight="1"/>
    <row r="338" s="28" customFormat="1" ht="16.5" customHeight="1"/>
    <row r="339" s="28" customFormat="1" ht="16.5" customHeight="1"/>
    <row r="340" s="28" customFormat="1" ht="16.5" customHeight="1"/>
    <row r="341" s="28" customFormat="1" ht="16.5" customHeight="1"/>
    <row r="342" s="28" customFormat="1" ht="16.5" customHeight="1"/>
    <row r="343" s="28" customFormat="1" ht="16.5" customHeight="1"/>
    <row r="344" s="28" customFormat="1" ht="16.5" customHeight="1"/>
    <row r="345" s="28" customFormat="1" ht="16.5" customHeight="1"/>
    <row r="346" s="28" customFormat="1" ht="16.5" customHeight="1"/>
    <row r="347" s="28" customFormat="1" ht="16.5" customHeight="1"/>
    <row r="348" s="28" customFormat="1" ht="16.5" customHeight="1"/>
    <row r="349" s="28" customFormat="1" ht="16.5" customHeight="1"/>
    <row r="350" s="28" customFormat="1" ht="16.5" customHeight="1"/>
    <row r="351" s="28" customFormat="1" ht="16.5" customHeight="1"/>
    <row r="352" s="28" customFormat="1" ht="16.5" customHeight="1"/>
    <row r="353" s="28" customFormat="1" ht="16.5" customHeight="1"/>
    <row r="354" s="28" customFormat="1" ht="16.5" customHeight="1"/>
    <row r="355" s="28" customFormat="1" ht="16.5" customHeight="1"/>
    <row r="356" s="28" customFormat="1" ht="16.5" customHeight="1"/>
    <row r="357" s="28" customFormat="1" ht="16.5" customHeight="1"/>
    <row r="358" s="28" customFormat="1" ht="16.5" customHeight="1"/>
    <row r="359" s="28" customFormat="1" ht="16.5" customHeight="1"/>
    <row r="360" s="28" customFormat="1" ht="16.5" customHeight="1"/>
    <row r="361" s="28" customFormat="1" ht="16.5" customHeight="1"/>
    <row r="362" s="28" customFormat="1" ht="16.5" customHeight="1"/>
    <row r="363" s="28" customFormat="1" ht="16.5" customHeight="1"/>
    <row r="364" s="28" customFormat="1" ht="16.5" customHeight="1"/>
    <row r="365" s="28" customFormat="1" ht="16.5" customHeight="1"/>
    <row r="366" s="28" customFormat="1" ht="16.5" customHeight="1"/>
    <row r="367" s="28" customFormat="1" ht="16.5" customHeight="1"/>
    <row r="368" s="28" customFormat="1" ht="16.5" customHeight="1"/>
    <row r="369" s="28" customFormat="1" ht="16.5" customHeight="1"/>
    <row r="370" s="28" customFormat="1" ht="16.5" customHeight="1"/>
    <row r="371" s="28" customFormat="1" ht="16.5" customHeight="1"/>
    <row r="372" s="28" customFormat="1" ht="16.5" customHeight="1"/>
    <row r="373" s="28" customFormat="1" ht="16.5" customHeight="1"/>
    <row r="374" s="28" customFormat="1" ht="16.5" customHeight="1"/>
    <row r="375" s="28" customFormat="1" ht="16.5" customHeight="1"/>
    <row r="376" s="28" customFormat="1" ht="16.5" customHeight="1"/>
    <row r="377" s="28" customFormat="1" ht="16.5" customHeight="1"/>
    <row r="378" s="28" customFormat="1" ht="16.5" customHeight="1"/>
    <row r="379" s="28" customFormat="1" ht="16.5" customHeight="1"/>
    <row r="380" s="28" customFormat="1" ht="16.5" customHeight="1"/>
    <row r="381" s="28" customFormat="1" ht="16.5" customHeight="1"/>
    <row r="382" s="28" customFormat="1" ht="16.5" customHeight="1"/>
    <row r="383" s="28" customFormat="1" ht="16.5" customHeight="1"/>
    <row r="384" s="28" customFormat="1" ht="16.5" customHeight="1"/>
    <row r="385" s="28" customFormat="1" ht="16.5" customHeight="1"/>
    <row r="386" s="28" customFormat="1" ht="16.5" customHeight="1"/>
    <row r="387" s="28" customFormat="1" ht="16.5" customHeight="1"/>
    <row r="388" s="28" customFormat="1" ht="16.5" customHeight="1"/>
    <row r="389" s="28" customFormat="1" ht="16.5" customHeight="1"/>
    <row r="390" s="28" customFormat="1" ht="16.5" customHeight="1"/>
    <row r="391" s="28" customFormat="1" ht="16.5" customHeight="1"/>
    <row r="392" s="28" customFormat="1" ht="16.5" customHeight="1"/>
    <row r="393" s="28" customFormat="1" ht="16.5" customHeight="1"/>
    <row r="394" s="28" customFormat="1" ht="16.5" customHeight="1"/>
    <row r="395" s="28" customFormat="1" ht="16.5" customHeight="1"/>
    <row r="396" s="28" customFormat="1" ht="16.5" customHeight="1"/>
    <row r="397" s="28" customFormat="1" ht="16.5" customHeight="1"/>
    <row r="398" s="28" customFormat="1" ht="16.5" customHeight="1"/>
    <row r="399" s="28" customFormat="1" ht="16.5" customHeight="1"/>
    <row r="400" s="28" customFormat="1" ht="16.5" customHeight="1"/>
    <row r="401" s="28" customFormat="1" ht="16.5" customHeight="1"/>
    <row r="402" s="28" customFormat="1" ht="16.5" customHeight="1"/>
    <row r="403" s="28" customFormat="1" ht="16.5" customHeight="1"/>
    <row r="404" s="28" customFormat="1" ht="16.5" customHeight="1"/>
    <row r="405" s="28" customFormat="1" ht="16.5" customHeight="1"/>
    <row r="406" s="28" customFormat="1" ht="16.5" customHeight="1"/>
    <row r="407" s="28" customFormat="1" ht="16.5" customHeight="1"/>
    <row r="408" s="28" customFormat="1" ht="16.5" customHeight="1"/>
    <row r="409" s="28" customFormat="1" ht="16.5" customHeight="1"/>
    <row r="410" s="28" customFormat="1" ht="16.5" customHeight="1"/>
    <row r="411" s="28" customFormat="1" ht="16.5" customHeight="1"/>
    <row r="412" s="28" customFormat="1" ht="16.5" customHeight="1"/>
    <row r="413" s="28" customFormat="1" ht="16.5" customHeight="1"/>
    <row r="414" s="28" customFormat="1" ht="16.5" customHeight="1"/>
    <row r="415" s="28" customFormat="1" ht="16.5" customHeight="1"/>
    <row r="416" s="28" customFormat="1" ht="16.5" customHeight="1"/>
    <row r="417" s="28" customFormat="1" ht="16.5" customHeight="1"/>
    <row r="418" s="28" customFormat="1" ht="16.5" customHeight="1"/>
    <row r="419" s="28" customFormat="1" ht="16.5" customHeight="1"/>
    <row r="420" s="28" customFormat="1" ht="16.5" customHeight="1"/>
    <row r="421" s="28" customFormat="1" ht="16.5" customHeight="1"/>
    <row r="422" s="28" customFormat="1" ht="16.5" customHeight="1"/>
    <row r="423" s="28" customFormat="1" ht="16.5" customHeight="1"/>
    <row r="424" s="28" customFormat="1" ht="16.5" customHeight="1"/>
    <row r="425" s="28" customFormat="1" ht="16.5" customHeight="1"/>
    <row r="426" s="28" customFormat="1" ht="16.5" customHeight="1"/>
    <row r="427" s="28" customFormat="1" ht="16.5" customHeight="1"/>
    <row r="428" s="28" customFormat="1" ht="16.5" customHeight="1"/>
    <row r="429" s="28" customFormat="1" ht="16.5" customHeight="1"/>
    <row r="430" s="28" customFormat="1" ht="16.5" customHeight="1"/>
    <row r="431" s="28" customFormat="1" ht="16.5" customHeight="1"/>
    <row r="432" s="28" customFormat="1" ht="16.5" customHeight="1"/>
    <row r="433" s="28" customFormat="1" ht="16.5" customHeight="1"/>
    <row r="434" s="28" customFormat="1" ht="16.5" customHeight="1"/>
    <row r="435" s="28" customFormat="1" ht="16.5" customHeight="1"/>
    <row r="436" s="28" customFormat="1" ht="16.5" customHeight="1"/>
    <row r="437" s="28" customFormat="1" ht="16.5" customHeight="1"/>
    <row r="438" s="28" customFormat="1" ht="16.5" customHeight="1"/>
    <row r="439" s="28" customFormat="1" ht="16.5" customHeight="1"/>
    <row r="440" s="28" customFormat="1" ht="16.5" customHeight="1"/>
    <row r="441" s="28" customFormat="1" ht="16.5" customHeight="1"/>
    <row r="442" s="28" customFormat="1" ht="16.5" customHeight="1"/>
    <row r="443" s="28" customFormat="1" ht="16.5" customHeight="1"/>
    <row r="444" s="28" customFormat="1" ht="16.5" customHeight="1"/>
    <row r="445" s="28" customFormat="1" ht="16.5" customHeight="1"/>
    <row r="446" s="28" customFormat="1" ht="16.5" customHeight="1"/>
    <row r="447" s="28" customFormat="1" ht="16.5" customHeight="1"/>
    <row r="448" s="28" customFormat="1" ht="16.5" customHeight="1"/>
    <row r="449" s="28" customFormat="1" ht="16.5" customHeight="1"/>
    <row r="450" s="28" customFormat="1" ht="16.5" customHeight="1"/>
    <row r="451" s="28" customFormat="1" ht="16.5" customHeight="1"/>
    <row r="452" s="28" customFormat="1" ht="16.5" customHeight="1"/>
    <row r="453" s="28" customFormat="1" ht="16.5" customHeight="1"/>
    <row r="454" s="28" customFormat="1" ht="16.5" customHeight="1"/>
    <row r="455" s="28" customFormat="1" ht="16.5" customHeight="1"/>
    <row r="456" s="28" customFormat="1" ht="16.5" customHeight="1"/>
    <row r="457" s="28" customFormat="1" ht="18"/>
    <row r="458" s="28" customFormat="1" ht="18"/>
    <row r="459" s="28" customFormat="1" ht="18"/>
    <row r="460" s="28" customFormat="1" ht="18"/>
    <row r="461" s="28" customFormat="1" ht="18"/>
    <row r="462" s="28" customFormat="1" ht="18"/>
    <row r="463" s="28" customFormat="1" ht="18"/>
    <row r="464" s="28" customFormat="1" ht="18"/>
    <row r="465" s="28" customFormat="1" ht="18"/>
    <row r="466" s="28" customFormat="1" ht="18"/>
    <row r="467" s="28" customFormat="1" ht="18"/>
    <row r="468" s="28" customFormat="1" ht="18"/>
    <row r="469" s="28" customFormat="1" ht="18"/>
    <row r="470" s="28" customFormat="1" ht="18"/>
    <row r="471" s="28" customFormat="1" ht="18"/>
    <row r="472" s="28" customFormat="1" ht="18"/>
    <row r="473" s="28" customFormat="1" ht="18"/>
    <row r="474" s="28" customFormat="1" ht="18"/>
    <row r="475" s="28" customFormat="1" ht="18"/>
    <row r="476" s="28" customFormat="1" ht="18"/>
    <row r="477" s="28" customFormat="1" ht="18"/>
    <row r="478" s="28" customFormat="1" ht="18"/>
    <row r="479" s="28" customFormat="1" ht="18"/>
    <row r="480" s="28" customFormat="1" ht="18"/>
    <row r="481" s="28" customFormat="1" ht="18"/>
    <row r="482" s="28" customFormat="1" ht="18"/>
    <row r="483" s="28" customFormat="1" ht="18"/>
    <row r="484" s="28" customFormat="1" ht="18"/>
    <row r="485" s="28" customFormat="1" ht="18"/>
    <row r="486" s="28" customFormat="1" ht="18"/>
    <row r="487" s="28" customFormat="1" ht="18"/>
    <row r="488" s="28" customFormat="1" ht="18"/>
    <row r="489" s="28" customFormat="1" ht="18"/>
    <row r="490" s="28" customFormat="1" ht="18"/>
    <row r="491" s="28" customFormat="1" ht="18"/>
    <row r="492" s="28" customFormat="1" ht="18"/>
    <row r="493" s="28" customFormat="1" ht="18"/>
    <row r="494" s="28" customFormat="1" ht="18"/>
    <row r="495" s="28" customFormat="1" ht="18"/>
    <row r="496" s="28" customFormat="1" ht="18"/>
    <row r="497" s="28" customFormat="1" ht="18"/>
    <row r="498" s="28" customFormat="1" ht="18"/>
    <row r="499" s="28" customFormat="1" ht="18"/>
    <row r="500" s="28" customFormat="1" ht="18"/>
    <row r="501" s="28" customFormat="1" ht="18"/>
    <row r="502" s="28" customFormat="1" ht="18"/>
    <row r="503" s="28" customFormat="1" ht="18"/>
    <row r="504" s="28" customFormat="1" ht="18"/>
    <row r="505" s="28" customFormat="1" ht="18"/>
    <row r="506" s="28" customFormat="1" ht="18"/>
    <row r="507" s="28" customFormat="1" ht="18"/>
    <row r="508" s="28" customFormat="1" ht="18"/>
    <row r="509" s="28" customFormat="1" ht="18"/>
    <row r="510" s="28" customFormat="1" ht="18"/>
    <row r="511" s="28" customFormat="1" ht="18"/>
    <row r="512" s="28" customFormat="1" ht="18"/>
    <row r="513" s="28" customFormat="1" ht="18"/>
    <row r="514" s="28" customFormat="1" ht="18"/>
    <row r="515" s="28" customFormat="1" ht="18"/>
    <row r="516" s="28" customFormat="1" ht="18"/>
    <row r="517" s="28" customFormat="1" ht="18"/>
    <row r="518" s="28" customFormat="1" ht="18"/>
    <row r="519" s="28" customFormat="1" ht="18"/>
    <row r="520" s="28" customFormat="1" ht="18"/>
    <row r="521" s="28" customFormat="1" ht="18"/>
    <row r="522" s="28" customFormat="1" ht="18"/>
    <row r="523" s="28" customFormat="1" ht="18"/>
    <row r="524" s="28" customFormat="1" ht="18"/>
    <row r="525" s="28" customFormat="1" ht="18"/>
    <row r="526" s="28" customFormat="1" ht="18"/>
    <row r="527" s="28" customFormat="1" ht="18"/>
    <row r="528" s="28" customFormat="1" ht="18"/>
    <row r="529" s="28" customFormat="1" ht="18"/>
    <row r="530" s="28" customFormat="1" ht="18"/>
    <row r="531" s="28" customFormat="1" ht="18"/>
    <row r="532" s="28" customFormat="1" ht="18"/>
    <row r="533" s="28" customFormat="1" ht="18"/>
    <row r="534" s="28" customFormat="1" ht="18"/>
    <row r="535" s="28" customFormat="1" ht="18"/>
    <row r="536" s="28" customFormat="1" ht="18"/>
    <row r="537" s="28" customFormat="1" ht="18"/>
    <row r="538" s="28" customFormat="1" ht="18"/>
    <row r="539" s="28" customFormat="1" ht="18"/>
    <row r="540" s="28" customFormat="1" ht="18"/>
    <row r="541" s="28" customFormat="1" ht="18"/>
    <row r="542" s="28" customFormat="1" ht="18"/>
    <row r="543" s="28" customFormat="1" ht="18"/>
    <row r="544" s="28" customFormat="1" ht="18"/>
    <row r="545" s="28" customFormat="1" ht="18"/>
    <row r="546" s="28" customFormat="1" ht="18"/>
    <row r="547" s="28" customFormat="1" ht="18"/>
    <row r="548" s="28" customFormat="1" ht="18"/>
    <row r="549" s="28" customFormat="1" ht="18"/>
    <row r="550" s="28" customFormat="1" ht="18"/>
    <row r="551" s="28" customFormat="1" ht="18"/>
    <row r="552" s="28" customFormat="1" ht="18"/>
    <row r="553" s="28" customFormat="1" ht="18"/>
    <row r="554" s="28" customFormat="1" ht="18"/>
    <row r="555" s="28" customFormat="1" ht="18"/>
    <row r="556" s="28" customFormat="1" ht="18"/>
    <row r="557" s="28" customFormat="1" ht="18"/>
    <row r="558" s="28" customFormat="1" ht="18"/>
    <row r="559" s="28" customFormat="1" ht="18"/>
    <row r="560" s="28" customFormat="1" ht="18"/>
    <row r="561" s="28" customFormat="1" ht="18"/>
    <row r="562" s="28" customFormat="1" ht="18"/>
    <row r="563" s="28" customFormat="1" ht="18"/>
    <row r="564" s="28" customFormat="1" ht="18"/>
    <row r="565" s="28" customFormat="1" ht="18"/>
    <row r="566" s="28" customFormat="1" ht="18"/>
    <row r="567" s="28" customFormat="1" ht="18"/>
    <row r="568" s="28" customFormat="1" ht="18"/>
    <row r="569" s="28" customFormat="1" ht="18"/>
    <row r="570" s="28" customFormat="1" ht="18"/>
    <row r="571" s="28" customFormat="1" ht="18"/>
    <row r="572" s="28" customFormat="1" ht="18"/>
    <row r="573" s="28" customFormat="1" ht="18"/>
    <row r="574" s="28" customFormat="1" ht="18"/>
    <row r="575" s="28" customFormat="1" ht="18"/>
    <row r="576" s="28" customFormat="1" ht="18"/>
    <row r="577" s="28" customFormat="1" ht="18"/>
    <row r="578" s="28" customFormat="1" ht="18"/>
    <row r="579" s="28" customFormat="1" ht="18"/>
    <row r="580" s="28" customFormat="1" ht="18"/>
    <row r="581" s="28" customFormat="1" ht="18"/>
    <row r="582" s="28" customFormat="1" ht="18"/>
    <row r="583" s="28" customFormat="1" ht="18"/>
    <row r="584" s="28" customFormat="1" ht="18"/>
    <row r="585" s="28" customFormat="1" ht="18"/>
    <row r="586" s="28" customFormat="1" ht="18"/>
    <row r="587" s="28" customFormat="1" ht="18"/>
    <row r="588" s="28" customFormat="1" ht="18"/>
    <row r="589" s="28" customFormat="1" ht="18"/>
    <row r="590" s="28" customFormat="1" ht="18"/>
    <row r="591" s="28" customFormat="1" ht="18"/>
    <row r="592" s="28" customFormat="1" ht="18"/>
    <row r="593" s="28" customFormat="1" ht="18"/>
    <row r="594" s="28" customFormat="1" ht="18"/>
    <row r="595" s="28" customFormat="1" ht="18"/>
    <row r="596" s="28" customFormat="1" ht="18"/>
    <row r="597" s="28" customFormat="1" ht="18"/>
    <row r="598" s="28" customFormat="1" ht="18"/>
    <row r="599" s="28" customFormat="1" ht="18"/>
    <row r="600" s="28" customFormat="1" ht="18"/>
    <row r="601" s="28" customFormat="1" ht="18"/>
    <row r="602" s="28" customFormat="1" ht="18"/>
    <row r="603" s="28" customFormat="1" ht="18"/>
    <row r="604" s="28" customFormat="1" ht="18"/>
    <row r="605" s="28" customFormat="1" ht="18"/>
    <row r="606" s="28" customFormat="1" ht="18"/>
    <row r="607" s="28" customFormat="1" ht="18"/>
    <row r="608" s="28" customFormat="1" ht="18"/>
    <row r="609" s="28" customFormat="1" ht="18"/>
    <row r="610" s="28" customFormat="1" ht="18"/>
    <row r="611" s="28" customFormat="1" ht="18"/>
    <row r="612" s="28" customFormat="1" ht="18"/>
    <row r="613" s="28" customFormat="1" ht="18"/>
    <row r="614" s="28" customFormat="1" ht="18"/>
    <row r="615" s="28" customFormat="1" ht="18"/>
    <row r="616" s="28" customFormat="1" ht="18"/>
    <row r="617" s="28" customFormat="1" ht="18"/>
    <row r="618" s="28" customFormat="1" ht="18"/>
    <row r="619" s="28" customFormat="1" ht="18"/>
    <row r="620" s="28" customFormat="1" ht="18"/>
    <row r="621" s="28" customFormat="1" ht="18"/>
    <row r="622" s="28" customFormat="1" ht="18"/>
    <row r="623" s="28" customFormat="1" ht="18"/>
    <row r="624" s="28" customFormat="1" ht="18"/>
    <row r="625" s="28" customFormat="1" ht="18"/>
    <row r="626" s="28" customFormat="1" ht="18"/>
    <row r="627" s="28" customFormat="1" ht="18"/>
    <row r="628" s="28" customFormat="1" ht="18"/>
    <row r="629" s="28" customFormat="1" ht="18"/>
    <row r="630" s="28" customFormat="1" ht="18"/>
    <row r="631" s="28" customFormat="1" ht="18"/>
    <row r="632" s="28" customFormat="1" ht="18"/>
    <row r="633" s="28" customFormat="1" ht="18"/>
    <row r="634" s="28" customFormat="1" ht="18"/>
    <row r="635" s="28" customFormat="1" ht="18"/>
    <row r="636" s="28" customFormat="1" ht="18"/>
    <row r="637" s="28" customFormat="1" ht="18"/>
    <row r="638" s="28" customFormat="1" ht="18"/>
    <row r="639" s="28" customFormat="1" ht="18"/>
    <row r="640" s="28" customFormat="1" ht="18"/>
    <row r="641" s="28" customFormat="1" ht="18"/>
    <row r="642" s="28" customFormat="1" ht="18"/>
    <row r="643" s="28" customFormat="1" ht="18"/>
    <row r="644" s="28" customFormat="1" ht="18"/>
    <row r="645" s="28" customFormat="1" ht="18"/>
    <row r="646" s="28" customFormat="1" ht="18"/>
    <row r="647" s="28" customFormat="1" ht="18"/>
    <row r="648" s="28" customFormat="1" ht="18"/>
    <row r="649" s="28" customFormat="1" ht="18"/>
    <row r="650" s="28" customFormat="1" ht="18"/>
    <row r="651" s="28" customFormat="1" ht="18"/>
    <row r="652" s="28" customFormat="1" ht="18"/>
    <row r="653" s="28" customFormat="1" ht="18"/>
    <row r="654" s="28" customFormat="1" ht="18"/>
    <row r="655" s="28" customFormat="1" ht="18"/>
    <row r="656" s="28" customFormat="1" ht="18"/>
    <row r="657" s="28" customFormat="1" ht="18"/>
    <row r="658" s="28" customFormat="1" ht="18"/>
    <row r="659" s="28" customFormat="1" ht="18"/>
    <row r="660" s="28" customFormat="1" ht="18"/>
    <row r="661" s="28" customFormat="1" ht="18"/>
    <row r="662" s="28" customFormat="1" ht="18"/>
    <row r="663" s="28" customFormat="1" ht="18"/>
    <row r="664" s="28" customFormat="1" ht="18"/>
    <row r="665" s="28" customFormat="1" ht="18"/>
    <row r="666" s="28" customFormat="1" ht="18"/>
    <row r="667" s="28" customFormat="1" ht="18"/>
    <row r="668" s="28" customFormat="1" ht="18"/>
    <row r="669" s="28" customFormat="1" ht="18"/>
    <row r="670" s="28" customFormat="1" ht="18"/>
    <row r="671" s="28" customFormat="1" ht="18"/>
    <row r="672" s="28" customFormat="1" ht="18"/>
    <row r="673" s="28" customFormat="1" ht="18"/>
    <row r="674" s="28" customFormat="1" ht="18"/>
    <row r="675" s="28" customFormat="1" ht="18"/>
    <row r="676" s="28" customFormat="1" ht="18"/>
    <row r="677" s="28" customFormat="1" ht="18"/>
    <row r="678" s="28" customFormat="1" ht="18"/>
    <row r="679" s="28" customFormat="1" ht="18"/>
    <row r="680" s="28" customFormat="1" ht="18"/>
    <row r="681" s="28" customFormat="1" ht="18"/>
    <row r="682" s="28" customFormat="1" ht="18"/>
    <row r="683" s="28" customFormat="1" ht="18"/>
    <row r="684" s="28" customFormat="1" ht="18"/>
    <row r="685" s="28" customFormat="1" ht="18"/>
    <row r="686" s="28" customFormat="1" ht="18"/>
    <row r="687" s="28" customFormat="1" ht="18"/>
    <row r="688" s="28" customFormat="1" ht="18"/>
    <row r="689" s="28" customFormat="1" ht="18"/>
    <row r="690" s="28" customFormat="1" ht="18"/>
    <row r="691" s="28" customFormat="1" ht="18"/>
    <row r="692" s="28" customFormat="1" ht="18"/>
    <row r="693" s="28" customFormat="1" ht="18"/>
    <row r="694" s="28" customFormat="1" ht="18"/>
    <row r="695" s="28" customFormat="1" ht="18"/>
    <row r="696" s="28" customFormat="1" ht="18"/>
    <row r="697" s="28" customFormat="1" ht="18"/>
    <row r="698" s="28" customFormat="1" ht="18"/>
    <row r="699" s="28" customFormat="1" ht="18"/>
    <row r="700" s="28" customFormat="1" ht="18"/>
    <row r="701" s="28" customFormat="1" ht="18"/>
    <row r="702" s="28" customFormat="1" ht="18"/>
    <row r="703" s="28" customFormat="1" ht="18"/>
    <row r="704" s="28" customFormat="1" ht="18"/>
    <row r="705" s="28" customFormat="1" ht="18"/>
    <row r="706" s="28" customFormat="1" ht="18"/>
    <row r="707" s="28" customFormat="1" ht="18"/>
    <row r="708" s="28" customFormat="1" ht="18"/>
    <row r="709" s="28" customFormat="1" ht="18"/>
    <row r="710" s="28" customFormat="1" ht="18"/>
    <row r="711" s="28" customFormat="1" ht="18"/>
    <row r="712" s="28" customFormat="1" ht="18"/>
    <row r="713" s="28" customFormat="1" ht="18"/>
    <row r="714" s="28" customFormat="1" ht="18"/>
    <row r="715" s="28" customFormat="1" ht="18"/>
    <row r="716" s="28" customFormat="1" ht="18"/>
    <row r="717" s="28" customFormat="1" ht="18"/>
    <row r="718" s="28" customFormat="1" ht="18"/>
    <row r="719" s="28" customFormat="1" ht="18"/>
    <row r="720" s="28" customFormat="1" ht="18"/>
    <row r="721" s="28" customFormat="1" ht="18"/>
    <row r="722" s="28" customFormat="1" ht="18"/>
    <row r="723" s="28" customFormat="1" ht="18"/>
    <row r="724" s="28" customFormat="1" ht="18"/>
    <row r="725" s="28" customFormat="1" ht="18"/>
    <row r="726" s="28" customFormat="1" ht="18"/>
    <row r="727" s="28" customFormat="1" ht="18"/>
    <row r="728" s="28" customFormat="1" ht="18"/>
    <row r="729" s="28" customFormat="1" ht="18"/>
    <row r="730" s="28" customFormat="1" ht="18"/>
    <row r="731" s="28" customFormat="1" ht="18"/>
    <row r="732" s="28" customFormat="1" ht="18"/>
    <row r="733" s="28" customFormat="1" ht="18"/>
    <row r="734" s="28" customFormat="1" ht="18"/>
    <row r="735" s="28" customFormat="1" ht="18"/>
    <row r="736" s="28" customFormat="1" ht="18"/>
    <row r="737" s="28" customFormat="1" ht="18"/>
    <row r="738" s="28" customFormat="1" ht="18"/>
    <row r="739" s="28" customFormat="1" ht="18"/>
    <row r="740" s="28" customFormat="1" ht="18"/>
    <row r="741" s="28" customFormat="1" ht="18"/>
    <row r="742" s="28" customFormat="1" ht="18"/>
    <row r="743" s="28" customFormat="1" ht="18"/>
    <row r="744" s="28" customFormat="1" ht="18"/>
    <row r="745" s="28" customFormat="1" ht="18"/>
    <row r="746" s="28" customFormat="1" ht="18"/>
    <row r="747" s="28" customFormat="1" ht="18"/>
    <row r="748" s="28" customFormat="1" ht="18"/>
    <row r="749" s="28" customFormat="1" ht="18"/>
    <row r="750" s="28" customFormat="1" ht="18"/>
    <row r="751" s="28" customFormat="1" ht="18"/>
    <row r="752" s="28" customFormat="1" ht="18"/>
    <row r="753" s="28" customFormat="1" ht="18"/>
    <row r="754" s="28" customFormat="1" ht="18"/>
    <row r="755" s="28" customFormat="1" ht="18"/>
    <row r="756" s="28" customFormat="1" ht="18"/>
    <row r="757" s="28" customFormat="1" ht="18"/>
    <row r="758" s="28" customFormat="1" ht="18"/>
    <row r="759" s="28" customFormat="1" ht="18"/>
    <row r="760" s="28" customFormat="1" ht="18"/>
    <row r="761" s="28" customFormat="1" ht="18"/>
    <row r="762" s="28" customFormat="1" ht="18"/>
    <row r="763" s="28" customFormat="1" ht="18"/>
    <row r="764" s="28" customFormat="1" ht="18"/>
    <row r="765" s="28" customFormat="1" ht="18"/>
    <row r="766" s="28" customFormat="1" ht="18"/>
    <row r="767" s="28" customFormat="1" ht="18"/>
    <row r="768" s="28" customFormat="1" ht="18"/>
    <row r="769" s="28" customFormat="1" ht="18"/>
    <row r="770" s="28" customFormat="1" ht="18"/>
    <row r="771" s="28" customFormat="1" ht="18"/>
    <row r="772" s="28" customFormat="1" ht="18"/>
    <row r="773" s="28" customFormat="1" ht="18"/>
    <row r="774" s="28" customFormat="1" ht="18"/>
    <row r="775" s="28" customFormat="1" ht="18"/>
    <row r="776" s="28" customFormat="1" ht="18"/>
    <row r="777" s="28" customFormat="1" ht="18"/>
    <row r="778" s="28" customFormat="1" ht="18"/>
    <row r="779" s="28" customFormat="1" ht="18"/>
    <row r="780" s="28" customFormat="1" ht="18"/>
    <row r="781" s="28" customFormat="1" ht="18"/>
    <row r="782" s="28" customFormat="1" ht="18"/>
    <row r="783" s="28" customFormat="1" ht="18"/>
    <row r="784" s="28" customFormat="1" ht="18"/>
    <row r="785" s="28" customFormat="1" ht="18"/>
    <row r="786" s="28" customFormat="1" ht="18"/>
    <row r="787" s="28" customFormat="1" ht="18"/>
    <row r="788" s="28" customFormat="1" ht="18"/>
    <row r="789" s="28" customFormat="1" ht="18"/>
    <row r="790" s="28" customFormat="1" ht="18"/>
    <row r="791" s="28" customFormat="1" ht="18"/>
    <row r="792" s="28" customFormat="1" ht="18"/>
    <row r="793" spans="1:19" s="28" customFormat="1" ht="21">
      <c r="A793" s="29"/>
      <c r="B793" s="29"/>
      <c r="C793" s="29"/>
      <c r="D793" s="29"/>
      <c r="E793" s="29"/>
      <c r="F793" s="29"/>
      <c r="S793" s="29"/>
    </row>
    <row r="794" spans="1:19" s="28" customFormat="1" ht="21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</row>
    <row r="795" spans="1:19" s="28" customFormat="1" ht="21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</row>
    <row r="796" spans="1:19" s="28" customFormat="1" ht="21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</row>
    <row r="797" spans="20:39" ht="21">
      <c r="T797" s="28"/>
      <c r="U797" s="28"/>
      <c r="V797" s="28"/>
      <c r="W797" s="28"/>
      <c r="X797" s="28"/>
      <c r="Y797" s="28"/>
      <c r="Z797" s="28"/>
      <c r="AA797" s="28"/>
      <c r="AB797" s="28"/>
      <c r="AC797" s="28"/>
      <c r="AD797" s="28"/>
      <c r="AE797" s="28"/>
      <c r="AF797" s="28"/>
      <c r="AG797" s="28"/>
      <c r="AH797" s="28"/>
      <c r="AI797" s="28"/>
      <c r="AJ797" s="28"/>
      <c r="AK797" s="28"/>
      <c r="AL797" s="28"/>
      <c r="AM797" s="28"/>
    </row>
    <row r="798" spans="20:39" ht="21">
      <c r="T798" s="28"/>
      <c r="W798" s="28"/>
      <c r="X798" s="28"/>
      <c r="Y798" s="28"/>
      <c r="Z798" s="28"/>
      <c r="AA798" s="28"/>
      <c r="AB798" s="28"/>
      <c r="AC798" s="28"/>
      <c r="AD798" s="28"/>
      <c r="AE798" s="28"/>
      <c r="AF798" s="28"/>
      <c r="AG798" s="28"/>
      <c r="AH798" s="28"/>
      <c r="AI798" s="28"/>
      <c r="AJ798" s="28"/>
      <c r="AK798" s="28"/>
      <c r="AL798" s="28"/>
      <c r="AM798" s="28"/>
    </row>
    <row r="799" spans="20:39" ht="21">
      <c r="T799" s="28"/>
      <c r="W799" s="28"/>
      <c r="X799" s="28"/>
      <c r="Y799" s="28"/>
      <c r="Z799" s="28"/>
      <c r="AA799" s="28"/>
      <c r="AB799" s="28"/>
      <c r="AC799" s="28"/>
      <c r="AD799" s="28"/>
      <c r="AE799" s="28"/>
      <c r="AF799" s="28"/>
      <c r="AG799" s="28"/>
      <c r="AH799" s="28"/>
      <c r="AI799" s="28"/>
      <c r="AJ799" s="28"/>
      <c r="AK799" s="28"/>
      <c r="AL799" s="28"/>
      <c r="AM799" s="28"/>
    </row>
    <row r="800" spans="20:39" ht="21">
      <c r="T800" s="28"/>
      <c r="W800" s="28"/>
      <c r="X800" s="28"/>
      <c r="Y800" s="28"/>
      <c r="Z800" s="28"/>
      <c r="AA800" s="28"/>
      <c r="AB800" s="28"/>
      <c r="AC800" s="28"/>
      <c r="AD800" s="28"/>
      <c r="AE800" s="28"/>
      <c r="AF800" s="28"/>
      <c r="AG800" s="28"/>
      <c r="AH800" s="28"/>
      <c r="AI800" s="28"/>
      <c r="AJ800" s="28"/>
      <c r="AK800" s="28"/>
      <c r="AL800" s="28"/>
      <c r="AM800" s="28"/>
    </row>
    <row r="801" ht="21">
      <c r="T801" s="28"/>
    </row>
    <row r="802" ht="21">
      <c r="T802" s="28"/>
    </row>
    <row r="803" ht="21">
      <c r="T803" s="28"/>
    </row>
    <row r="804" ht="21">
      <c r="T804" s="28"/>
    </row>
    <row r="805" ht="21">
      <c r="T805" s="28"/>
    </row>
  </sheetData>
  <sheetProtection/>
  <mergeCells count="27">
    <mergeCell ref="AJ67:AL67"/>
    <mergeCell ref="H74:I74"/>
    <mergeCell ref="AJ61:AL61"/>
    <mergeCell ref="AJ62:AL62"/>
    <mergeCell ref="AJ63:AL63"/>
    <mergeCell ref="AJ64:AL64"/>
    <mergeCell ref="AJ65:AL65"/>
    <mergeCell ref="AJ66:AL66"/>
    <mergeCell ref="D55:E55"/>
    <mergeCell ref="AL55:AP55"/>
    <mergeCell ref="AL56:AP56"/>
    <mergeCell ref="AL57:AP57"/>
    <mergeCell ref="AJ59:AL60"/>
    <mergeCell ref="AM59:AO60"/>
    <mergeCell ref="Y33:Z33"/>
    <mergeCell ref="AA33:AB33"/>
    <mergeCell ref="D45:E45"/>
    <mergeCell ref="G46:G47"/>
    <mergeCell ref="B48:B49"/>
    <mergeCell ref="G48:G49"/>
    <mergeCell ref="A1:S1"/>
    <mergeCell ref="P9:Q9"/>
    <mergeCell ref="B14:D15"/>
    <mergeCell ref="F20:G20"/>
    <mergeCell ref="P25:R25"/>
    <mergeCell ref="AO1:BD1"/>
    <mergeCell ref="AO2:AQ3"/>
  </mergeCells>
  <conditionalFormatting sqref="E37:E44 E24:E33 E35 E56:E61 E47:E54 E18:E22">
    <cfRule type="cellIs" priority="12" dxfId="14" operator="between" stopIfTrue="1">
      <formula>0</formula>
      <formula>50</formula>
    </cfRule>
    <cfRule type="cellIs" priority="13" dxfId="15" operator="between" stopIfTrue="1">
      <formula>50</formula>
      <formula>150</formula>
    </cfRule>
    <cfRule type="cellIs" priority="14" dxfId="16" operator="between" stopIfTrue="1">
      <formula>150</formula>
      <formula>500</formula>
    </cfRule>
  </conditionalFormatting>
  <conditionalFormatting sqref="S1:S65536">
    <cfRule type="containsText" priority="11" dxfId="17" operator="containsText" stopIfTrue="1" text="NG">
      <formula>NOT(ISERROR(SEARCH("NG",S1)))</formula>
    </cfRule>
  </conditionalFormatting>
  <conditionalFormatting sqref="S23">
    <cfRule type="containsText" priority="10" dxfId="17" operator="containsText" stopIfTrue="1" text="NG">
      <formula>NOT(ISERROR(SEARCH("NG",S23)))</formula>
    </cfRule>
  </conditionalFormatting>
  <conditionalFormatting sqref="E34">
    <cfRule type="cellIs" priority="7" dxfId="14" operator="between" stopIfTrue="1">
      <formula>0</formula>
      <formula>50</formula>
    </cfRule>
    <cfRule type="cellIs" priority="8" dxfId="15" operator="between" stopIfTrue="1">
      <formula>50</formula>
      <formula>150</formula>
    </cfRule>
    <cfRule type="cellIs" priority="9" dxfId="16" operator="between" stopIfTrue="1">
      <formula>150</formula>
      <formula>500</formula>
    </cfRule>
  </conditionalFormatting>
  <conditionalFormatting sqref="E16:E17">
    <cfRule type="cellIs" priority="4" dxfId="14" operator="between" stopIfTrue="1">
      <formula>0</formula>
      <formula>50</formula>
    </cfRule>
    <cfRule type="cellIs" priority="5" dxfId="15" operator="between" stopIfTrue="1">
      <formula>50</formula>
      <formula>150</formula>
    </cfRule>
    <cfRule type="cellIs" priority="6" dxfId="16" operator="between" stopIfTrue="1">
      <formula>150</formula>
      <formula>500</formula>
    </cfRule>
  </conditionalFormatting>
  <conditionalFormatting sqref="AR4:AR36">
    <cfRule type="cellIs" priority="1" dxfId="14" operator="between" stopIfTrue="1">
      <formula>0</formula>
      <formula>50</formula>
    </cfRule>
    <cfRule type="cellIs" priority="2" dxfId="15" operator="between" stopIfTrue="1">
      <formula>50</formula>
      <formula>150</formula>
    </cfRule>
    <cfRule type="cellIs" priority="3" dxfId="16" operator="between" stopIfTrue="1">
      <formula>150</formula>
      <formula>500</formula>
    </cfRule>
  </conditionalFormatting>
  <dataValidations count="2">
    <dataValidation type="list" allowBlank="1" showInputMessage="1" showErrorMessage="1" sqref="O61">
      <formula1>"E60,E70,E80"</formula1>
    </dataValidation>
    <dataValidation type="list" allowBlank="1" showInputMessage="1" showErrorMessage="1" sqref="Q27">
      <formula1>"1,2,3,4"</formula1>
    </dataValidation>
  </dataValidations>
  <printOptions horizontalCentered="1"/>
  <pageMargins left="0.7874015748031497" right="0.3937007874015748" top="0.5905511811023623" bottom="0.5905511811023623" header="0.1968503937007874" footer="0.1968503937007874"/>
  <pageSetup horizontalDpi="600" verticalDpi="600" orientation="portrait" paperSize="9" r:id="rId13"/>
  <headerFooter alignWithMargins="0">
    <oddFooter>&amp;R&amp;"Angsana New,Regular"&amp;12Print Date: &amp;D, Sheet: &amp;A, File: &amp;F</oddFooter>
  </headerFooter>
  <drawing r:id="rId12"/>
  <legacyDrawing r:id="rId11"/>
  <oleObjects>
    <oleObject progId="Equation.3" shapeId="689802" r:id="rId2"/>
    <oleObject progId="Equation.3" shapeId="689803" r:id="rId3"/>
    <oleObject progId="Equation.3" shapeId="689804" r:id="rId4"/>
    <oleObject progId="Equation.3" shapeId="689805" r:id="rId5"/>
    <oleObject progId="Equation.3" shapeId="689806" r:id="rId6"/>
    <oleObject progId="Equation.3" shapeId="689807" r:id="rId7"/>
    <oleObject progId="Equation.3" shapeId="689808" r:id="rId8"/>
    <oleObject progId="Equation.3" shapeId="689809" r:id="rId9"/>
    <oleObject progId="Equation.3" shapeId="689810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Chulalongkron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Transportation Engineering</dc:creator>
  <cp:keywords/>
  <dc:description/>
  <cp:lastModifiedBy>RABBIT</cp:lastModifiedBy>
  <cp:lastPrinted>2015-09-11T02:15:34Z</cp:lastPrinted>
  <dcterms:created xsi:type="dcterms:W3CDTF">2000-12-31T23:38:47Z</dcterms:created>
  <dcterms:modified xsi:type="dcterms:W3CDTF">2015-09-11T02:15:39Z</dcterms:modified>
  <cp:category/>
  <cp:version/>
  <cp:contentType/>
  <cp:contentStatus/>
</cp:coreProperties>
</file>