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50" yWindow="65516" windowWidth="7580" windowHeight="8420" activeTab="0"/>
  </bookViews>
  <sheets>
    <sheet name="composite" sheetId="1" r:id="rId1"/>
    <sheet name="Table1" sheetId="2" state="hidden" r:id="rId2"/>
    <sheet name="Table2" sheetId="3" r:id="rId3"/>
  </sheets>
  <externalReferences>
    <externalReference r:id="rId6"/>
  </externalReferences>
  <definedNames>
    <definedName name="\0">#REF!</definedName>
    <definedName name="\b">#REF!</definedName>
    <definedName name="\i">#REF!</definedName>
    <definedName name="\m">#REF!</definedName>
    <definedName name="MENU">#REF!</definedName>
    <definedName name="MENU2">#REF!</definedName>
    <definedName name="MENU3">#REF!</definedName>
    <definedName name="MENU4">#REF!</definedName>
    <definedName name="Print_Area_MI">#REF!</definedName>
    <definedName name="SERMPUN3">'[1]Criteria'!$A$38</definedName>
    <definedName name="SERMPUN5">#REF!</definedName>
  </definedNames>
  <calcPr fullCalcOnLoad="1"/>
</workbook>
</file>

<file path=xl/sharedStrings.xml><?xml version="1.0" encoding="utf-8"?>
<sst xmlns="http://schemas.openxmlformats.org/spreadsheetml/2006/main" count="638" uniqueCount="250">
  <si>
    <t>kg.-m.</t>
  </si>
  <si>
    <t>ksc.</t>
  </si>
  <si>
    <t>kg.</t>
  </si>
  <si>
    <t>m.</t>
  </si>
  <si>
    <t>D</t>
  </si>
  <si>
    <t>C</t>
  </si>
  <si>
    <t>B</t>
  </si>
  <si>
    <t>mm.</t>
  </si>
  <si>
    <t>rx</t>
  </si>
  <si>
    <t>kg./m.</t>
  </si>
  <si>
    <t>ry</t>
  </si>
  <si>
    <t>cm.</t>
  </si>
  <si>
    <t>*****</t>
  </si>
  <si>
    <t>Table  Of  Light  Lip  Channal  Section</t>
  </si>
  <si>
    <t>ลำดับที่</t>
  </si>
  <si>
    <t>Out. Dai.</t>
  </si>
  <si>
    <t>Thickness</t>
  </si>
  <si>
    <t>Weight</t>
  </si>
  <si>
    <t>Sect. Area</t>
  </si>
  <si>
    <t>M. Of In.</t>
  </si>
  <si>
    <t>Sect. Mod.</t>
  </si>
  <si>
    <t>Rad. Gyr.</t>
  </si>
  <si>
    <t>ขนาด</t>
  </si>
  <si>
    <t>Ix</t>
  </si>
  <si>
    <t>Iy</t>
  </si>
  <si>
    <t>Zx</t>
  </si>
  <si>
    <t>Zy</t>
  </si>
  <si>
    <t>(mm.)</t>
  </si>
  <si>
    <t>(kg./m.)</t>
  </si>
  <si>
    <t>(cm.)</t>
  </si>
  <si>
    <t>60*30*10</t>
  </si>
  <si>
    <t>Section</t>
  </si>
  <si>
    <t>75*45*15</t>
  </si>
  <si>
    <t>tw</t>
  </si>
  <si>
    <t>100*50*20</t>
  </si>
  <si>
    <t>tf</t>
  </si>
  <si>
    <t>A</t>
  </si>
  <si>
    <t>125*50*20</t>
  </si>
  <si>
    <t>w</t>
  </si>
  <si>
    <t>150*50*20</t>
  </si>
  <si>
    <t>150*65*20</t>
  </si>
  <si>
    <t>150*55*20</t>
  </si>
  <si>
    <t>150*75*20</t>
  </si>
  <si>
    <t>200*75*20</t>
  </si>
  <si>
    <t>250*75*25</t>
  </si>
  <si>
    <t>Table  Of  Rectangular  Tube  Section</t>
  </si>
  <si>
    <t>Table  Of  Light  Channel  Section</t>
  </si>
  <si>
    <t>Table  Of  I - Section</t>
  </si>
  <si>
    <t>Table  Of  WF - Section</t>
  </si>
  <si>
    <t>Thick.(tw)</t>
  </si>
  <si>
    <t>Thick.(tf)</t>
  </si>
  <si>
    <t>rx(cm.)</t>
  </si>
  <si>
    <t>(cm.)ry</t>
  </si>
  <si>
    <t>50*25</t>
  </si>
  <si>
    <t>75*40</t>
  </si>
  <si>
    <t>80*42</t>
  </si>
  <si>
    <t>100*50</t>
  </si>
  <si>
    <t>100*100</t>
  </si>
  <si>
    <t>60*30</t>
  </si>
  <si>
    <t>125*65</t>
  </si>
  <si>
    <t>120*58</t>
  </si>
  <si>
    <t>125*60</t>
  </si>
  <si>
    <t>150*75</t>
  </si>
  <si>
    <t>140*66</t>
  </si>
  <si>
    <t>125*125</t>
  </si>
  <si>
    <t>75*45</t>
  </si>
  <si>
    <t>160*74</t>
  </si>
  <si>
    <t>180*75</t>
  </si>
  <si>
    <t>180*82</t>
  </si>
  <si>
    <t>150*100</t>
  </si>
  <si>
    <t>90*45</t>
  </si>
  <si>
    <t>200*70</t>
  </si>
  <si>
    <t>200*90</t>
  </si>
  <si>
    <t>150*150</t>
  </si>
  <si>
    <t>200*80</t>
  </si>
  <si>
    <t>220*98</t>
  </si>
  <si>
    <t>175*125</t>
  </si>
  <si>
    <t>240*106</t>
  </si>
  <si>
    <t>175*175</t>
  </si>
  <si>
    <t>250*90</t>
  </si>
  <si>
    <t>260*113</t>
  </si>
  <si>
    <t>200*100</t>
  </si>
  <si>
    <t>125*40</t>
  </si>
  <si>
    <t>280*119</t>
  </si>
  <si>
    <t>300*90</t>
  </si>
  <si>
    <t>300*125</t>
  </si>
  <si>
    <t>200*150</t>
  </si>
  <si>
    <t>125*75</t>
  </si>
  <si>
    <t>320*131</t>
  </si>
  <si>
    <t>200*200</t>
  </si>
  <si>
    <t>340*137</t>
  </si>
  <si>
    <t>150*80</t>
  </si>
  <si>
    <t>380*100</t>
  </si>
  <si>
    <t>360*143</t>
  </si>
  <si>
    <t>380*149</t>
  </si>
  <si>
    <t>250*125</t>
  </si>
  <si>
    <t>400*155</t>
  </si>
  <si>
    <t>425*163</t>
  </si>
  <si>
    <t>250*175</t>
  </si>
  <si>
    <t>450*170</t>
  </si>
  <si>
    <t>250*250</t>
  </si>
  <si>
    <t>475*178</t>
  </si>
  <si>
    <t>500*185</t>
  </si>
  <si>
    <t>W</t>
  </si>
  <si>
    <t>550*200</t>
  </si>
  <si>
    <t>600*215</t>
  </si>
  <si>
    <t>300*150</t>
  </si>
  <si>
    <t>300*200</t>
  </si>
  <si>
    <t>300*300</t>
  </si>
  <si>
    <t>350*175</t>
  </si>
  <si>
    <t>350*250</t>
  </si>
  <si>
    <t>350*350</t>
  </si>
  <si>
    <t>400*200</t>
  </si>
  <si>
    <t>400*300</t>
  </si>
  <si>
    <t>400*400</t>
  </si>
  <si>
    <t>450*200</t>
  </si>
  <si>
    <t>450*300</t>
  </si>
  <si>
    <t>500*200</t>
  </si>
  <si>
    <t>500*300</t>
  </si>
  <si>
    <t>600*200</t>
  </si>
  <si>
    <t>600*300</t>
  </si>
  <si>
    <t>700*300</t>
  </si>
  <si>
    <t>800*300</t>
  </si>
  <si>
    <t>900*300</t>
  </si>
  <si>
    <r>
      <t>(cm.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</t>
    </r>
  </si>
  <si>
    <r>
      <t>(cm.</t>
    </r>
    <r>
      <rPr>
        <vertAlign val="superscript"/>
        <sz val="16"/>
        <rFont val="AngsanaUPC"/>
        <family val="1"/>
      </rPr>
      <t>4</t>
    </r>
    <r>
      <rPr>
        <sz val="16"/>
        <rFont val="AngsanaUPC"/>
        <family val="0"/>
      </rPr>
      <t>)</t>
    </r>
  </si>
  <si>
    <r>
      <t>(cm.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0"/>
      </rPr>
      <t>)</t>
    </r>
  </si>
  <si>
    <r>
      <t>Ix(cm.</t>
    </r>
    <r>
      <rPr>
        <vertAlign val="superscript"/>
        <sz val="16"/>
        <rFont val="AngsanaUPC"/>
        <family val="1"/>
      </rPr>
      <t>4</t>
    </r>
    <r>
      <rPr>
        <sz val="16"/>
        <rFont val="AngsanaUPC"/>
        <family val="0"/>
      </rPr>
      <t>)</t>
    </r>
  </si>
  <si>
    <r>
      <t>Iy(cm.</t>
    </r>
    <r>
      <rPr>
        <vertAlign val="superscript"/>
        <sz val="16"/>
        <rFont val="AngsanaUPC"/>
        <family val="1"/>
      </rPr>
      <t>4</t>
    </r>
    <r>
      <rPr>
        <sz val="16"/>
        <rFont val="AngsanaUPC"/>
        <family val="0"/>
      </rPr>
      <t>)</t>
    </r>
  </si>
  <si>
    <r>
      <t>Zx(cm.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0"/>
      </rPr>
      <t>)</t>
    </r>
  </si>
  <si>
    <r>
      <t>Zy(cm.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0"/>
      </rPr>
      <t>)</t>
    </r>
  </si>
  <si>
    <t>cm.3</t>
  </si>
  <si>
    <t>cm.2</t>
  </si>
  <si>
    <t>cm.4</t>
  </si>
  <si>
    <t>Use Laterally Sup.</t>
  </si>
  <si>
    <t>M. Of In.(Ix-x)</t>
  </si>
  <si>
    <t>Sect. Modulus(Sx-x)</t>
  </si>
  <si>
    <t>Weight Of Section</t>
  </si>
  <si>
    <t>Section Area(As)</t>
  </si>
  <si>
    <t>Thick. Flange(tf)</t>
  </si>
  <si>
    <t>Thick. Web(t , tw)</t>
  </si>
  <si>
    <t>Size Of Section</t>
  </si>
  <si>
    <t>Trial Section No.</t>
  </si>
  <si>
    <t>**  CHECK LATERALLY SUPPORTED  **</t>
  </si>
  <si>
    <t>Span Length =</t>
  </si>
  <si>
    <t>LL   =</t>
  </si>
  <si>
    <t>T</t>
  </si>
  <si>
    <t>L</t>
  </si>
  <si>
    <r>
      <t>kg/m</t>
    </r>
    <r>
      <rPr>
        <vertAlign val="superscript"/>
        <sz val="14"/>
        <rFont val="Cordia New"/>
        <family val="2"/>
      </rPr>
      <t>2</t>
    </r>
  </si>
  <si>
    <r>
      <t>DL</t>
    </r>
    <r>
      <rPr>
        <vertAlign val="subscript"/>
        <sz val="14"/>
        <rFont val="Cordia New"/>
        <family val="2"/>
      </rPr>
      <t>f</t>
    </r>
    <r>
      <rPr>
        <sz val="14"/>
        <rFont val="Cordia New"/>
        <family val="2"/>
      </rPr>
      <t xml:space="preserve">  =</t>
    </r>
  </si>
  <si>
    <r>
      <t>DL</t>
    </r>
    <r>
      <rPr>
        <vertAlign val="subscript"/>
        <sz val="14"/>
        <rFont val="Cordia New"/>
        <family val="2"/>
      </rPr>
      <t>s</t>
    </r>
    <r>
      <rPr>
        <sz val="14"/>
        <rFont val="Cordia New"/>
        <family val="2"/>
      </rPr>
      <t xml:space="preserve">  =</t>
    </r>
  </si>
  <si>
    <r>
      <t>M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2"/>
      </rPr>
      <t xml:space="preserve"> = wL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 xml:space="preserve">/8  </t>
    </r>
  </si>
  <si>
    <r>
      <t>V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2"/>
      </rPr>
      <t xml:space="preserve"> = wL/2</t>
    </r>
  </si>
  <si>
    <t>ksc</t>
  </si>
  <si>
    <t>m</t>
  </si>
  <si>
    <t>16t+bf=</t>
  </si>
  <si>
    <t>fc' =</t>
  </si>
  <si>
    <t>Es =</t>
  </si>
  <si>
    <t>L =</t>
  </si>
  <si>
    <t>t =</t>
  </si>
  <si>
    <t>bf =</t>
  </si>
  <si>
    <t>b/n   =</t>
  </si>
  <si>
    <t>y  =</t>
  </si>
  <si>
    <t>Area of composite section  =</t>
  </si>
  <si>
    <t>Hight(H)</t>
  </si>
  <si>
    <t>Widht (b)</t>
  </si>
  <si>
    <r>
      <t>M</t>
    </r>
    <r>
      <rPr>
        <sz val="10"/>
        <rFont val="Cordia New"/>
        <family val="2"/>
      </rPr>
      <t>D</t>
    </r>
    <r>
      <rPr>
        <sz val="14"/>
        <rFont val="Cordia New"/>
        <family val="2"/>
      </rPr>
      <t xml:space="preserve">  =</t>
    </r>
  </si>
  <si>
    <r>
      <t>M</t>
    </r>
    <r>
      <rPr>
        <sz val="10"/>
        <rFont val="Cordia New"/>
        <family val="2"/>
      </rPr>
      <t>L</t>
    </r>
    <r>
      <rPr>
        <sz val="14"/>
        <rFont val="Cordia New"/>
        <family val="2"/>
      </rPr>
      <t xml:space="preserve">  =</t>
    </r>
  </si>
  <si>
    <t>Composite:  at Top fibre  fb  =</t>
  </si>
  <si>
    <t>Stress in concrete : fb/n  =</t>
  </si>
  <si>
    <t>at Bottom fibre fb  =</t>
  </si>
  <si>
    <t>According AISC : Checking stress from total loads</t>
  </si>
  <si>
    <t>fc  =</t>
  </si>
  <si>
    <t>fs   =</t>
  </si>
  <si>
    <t>b  =1/4L=</t>
  </si>
  <si>
    <t>Vh  = 0.85fc'Ac/2  =</t>
  </si>
  <si>
    <t>Vh  = Asfy/2  =</t>
  </si>
  <si>
    <t>Max. Shear  =</t>
  </si>
  <si>
    <t>Shear stress  fv  =V/dtw  =</t>
  </si>
  <si>
    <t>Hz.</t>
  </si>
  <si>
    <t>Kg.-m.</t>
  </si>
  <si>
    <t>Kg.</t>
  </si>
  <si>
    <t>n = Es/Ec  =</t>
  </si>
  <si>
    <t>No. Girders used  =</t>
  </si>
  <si>
    <t>m.   min. =</t>
  </si>
  <si>
    <r>
      <t>V</t>
    </r>
    <r>
      <rPr>
        <sz val="10"/>
        <rFont val="Cordia New"/>
        <family val="2"/>
      </rPr>
      <t>T</t>
    </r>
    <r>
      <rPr>
        <sz val="14"/>
        <rFont val="Cordia New"/>
        <family val="2"/>
      </rPr>
      <t xml:space="preserve">  =</t>
    </r>
  </si>
  <si>
    <r>
      <t>Ec = 15210fc'</t>
    </r>
    <r>
      <rPr>
        <vertAlign val="superscript"/>
        <sz val="14"/>
        <rFont val="Cordia New"/>
        <family val="2"/>
      </rPr>
      <t>1/2</t>
    </r>
    <r>
      <rPr>
        <sz val="14"/>
        <rFont val="Cordia New"/>
        <family val="2"/>
      </rPr>
      <t xml:space="preserve">  =</t>
    </r>
  </si>
  <si>
    <t>**DATA INPUT**</t>
  </si>
  <si>
    <t>** STEEL SECTION PROPERTIES **</t>
  </si>
  <si>
    <t>** DATA FROM ANALYSIS**</t>
  </si>
  <si>
    <t>**TRANSFORM SECTION**</t>
  </si>
  <si>
    <t xml:space="preserve">**ACTUAL STRESS**  </t>
  </si>
  <si>
    <t>**Number of Shear stud  (Shear connector)**</t>
  </si>
  <si>
    <t>**Checking Shear Stress**</t>
  </si>
  <si>
    <t>**EFFECTIVE WIDTH**</t>
  </si>
  <si>
    <r>
      <t xml:space="preserve">S </t>
    </r>
    <r>
      <rPr>
        <sz val="10"/>
        <rFont val="Cordia New"/>
        <family val="2"/>
      </rPr>
      <t>Upper</t>
    </r>
    <r>
      <rPr>
        <sz val="14"/>
        <rFont val="Cordia New"/>
        <family val="2"/>
      </rPr>
      <t xml:space="preserve">  =</t>
    </r>
  </si>
  <si>
    <r>
      <t xml:space="preserve">S </t>
    </r>
    <r>
      <rPr>
        <sz val="10"/>
        <rFont val="Cordia New"/>
        <family val="2"/>
      </rPr>
      <t>Lower</t>
    </r>
    <r>
      <rPr>
        <sz val="14"/>
        <rFont val="Cordia New"/>
        <family val="2"/>
      </rPr>
      <t xml:space="preserve">  =</t>
    </r>
  </si>
  <si>
    <r>
      <t>M</t>
    </r>
    <r>
      <rPr>
        <sz val="10"/>
        <rFont val="Cordia New"/>
        <family val="2"/>
      </rPr>
      <t>L</t>
    </r>
    <r>
      <rPr>
        <sz val="14"/>
        <rFont val="Cordia New"/>
        <family val="2"/>
      </rPr>
      <t xml:space="preserve">  =</t>
    </r>
  </si>
  <si>
    <r>
      <t>M</t>
    </r>
    <r>
      <rPr>
        <sz val="10"/>
        <rFont val="Cordia New"/>
        <family val="2"/>
      </rPr>
      <t>D</t>
    </r>
    <r>
      <rPr>
        <sz val="14"/>
        <rFont val="Cordia New"/>
        <family val="2"/>
      </rPr>
      <t xml:space="preserve">  =</t>
    </r>
  </si>
  <si>
    <r>
      <t>I</t>
    </r>
    <r>
      <rPr>
        <sz val="10"/>
        <rFont val="Cordia New"/>
        <family val="2"/>
      </rPr>
      <t>NA</t>
    </r>
    <r>
      <rPr>
        <sz val="14"/>
        <rFont val="Cordia New"/>
        <family val="2"/>
      </rPr>
      <t>. =</t>
    </r>
  </si>
  <si>
    <r>
      <t>Pre composite : fb  =M</t>
    </r>
    <r>
      <rPr>
        <sz val="10"/>
        <rFont val="Cordia New"/>
        <family val="2"/>
      </rPr>
      <t>D</t>
    </r>
    <r>
      <rPr>
        <sz val="14"/>
        <rFont val="Cordia New"/>
        <family val="2"/>
      </rPr>
      <t>/Sx =</t>
    </r>
  </si>
  <si>
    <t>LOADING</t>
  </si>
  <si>
    <t>50%LL.</t>
  </si>
  <si>
    <t>100%LL.</t>
  </si>
  <si>
    <t>Deflection  =</t>
  </si>
  <si>
    <t>Shear stress  fv  =2V/dtw  =</t>
  </si>
  <si>
    <t>ksc. Half joint</t>
  </si>
  <si>
    <t>M. Of In.(Iy-y)</t>
  </si>
  <si>
    <t>Ww =</t>
  </si>
  <si>
    <t>kg.   F.S. =</t>
  </si>
  <si>
    <t>q  =  Qu/FS.  =</t>
  </si>
  <si>
    <t>6 time of dia. Shear stud =</t>
  </si>
  <si>
    <t>8tc  =</t>
  </si>
  <si>
    <t>min. Vh  =</t>
  </si>
  <si>
    <t>kg.     No. of  stud  =</t>
  </si>
  <si>
    <t>studs</t>
  </si>
  <si>
    <t>Interval of shear stud  =</t>
  </si>
  <si>
    <t>Composite section as fully supported</t>
  </si>
  <si>
    <t xml:space="preserve">Type Of  WF-Section </t>
  </si>
  <si>
    <t>BAY Length =</t>
  </si>
  <si>
    <t>1/2(l1+l2)** =</t>
  </si>
  <si>
    <t>m(say min)</t>
  </si>
  <si>
    <t>used interval of  2 shear studs  =</t>
  </si>
  <si>
    <t>The real Case is not Composite section but strengthenning</t>
  </si>
  <si>
    <t>Steel section will be acted after increasing loading</t>
  </si>
  <si>
    <t>use M12 mm.  5 cm. height as Supplier recommended</t>
  </si>
  <si>
    <t xml:space="preserve">   mm.    Qu =0.5Ass(fc'Ec)^0.5  =</t>
  </si>
  <si>
    <t>**Checking Shear Stress for Support**</t>
  </si>
  <si>
    <t>As simple span</t>
  </si>
  <si>
    <t>Total</t>
  </si>
  <si>
    <t>kg</t>
  </si>
  <si>
    <t>Simplified Support</t>
  </si>
  <si>
    <t>USE M</t>
  </si>
  <si>
    <t>Number Bolts =</t>
  </si>
  <si>
    <t>Remark: considering as isolated composite beam</t>
  </si>
  <si>
    <t>Steel Concrete Composite Member Design</t>
  </si>
  <si>
    <t>Table  Of  Pipe  Section</t>
  </si>
  <si>
    <t>**Checking Vibration and Deflection**</t>
  </si>
  <si>
    <r>
      <t>Pre composite: Deflection  = 5/384w</t>
    </r>
    <r>
      <rPr>
        <vertAlign val="subscript"/>
        <sz val="14"/>
        <color indexed="8"/>
        <rFont val="Cordia New"/>
        <family val="2"/>
      </rPr>
      <t>D</t>
    </r>
    <r>
      <rPr>
        <sz val="14"/>
        <color indexed="8"/>
        <rFont val="Cordia New"/>
        <family val="2"/>
      </rPr>
      <t>L</t>
    </r>
    <r>
      <rPr>
        <vertAlign val="superscript"/>
        <sz val="14"/>
        <color indexed="8"/>
        <rFont val="Cordia New"/>
        <family val="2"/>
      </rPr>
      <t>4</t>
    </r>
    <r>
      <rPr>
        <sz val="14"/>
        <color indexed="8"/>
        <rFont val="Cordia New"/>
        <family val="2"/>
      </rPr>
      <t>/E</t>
    </r>
    <r>
      <rPr>
        <vertAlign val="subscript"/>
        <sz val="14"/>
        <color indexed="8"/>
        <rFont val="Cordia New"/>
        <family val="2"/>
      </rPr>
      <t>s</t>
    </r>
    <r>
      <rPr>
        <sz val="14"/>
        <color indexed="8"/>
        <rFont val="Cordia New"/>
        <family val="2"/>
      </rPr>
      <t>I</t>
    </r>
    <r>
      <rPr>
        <vertAlign val="subscript"/>
        <sz val="14"/>
        <color indexed="8"/>
        <rFont val="Cordia New"/>
        <family val="2"/>
      </rPr>
      <t>s</t>
    </r>
    <r>
      <rPr>
        <sz val="14"/>
        <color indexed="8"/>
        <rFont val="Cordia New"/>
        <family val="2"/>
      </rPr>
      <t xml:space="preserve">  =</t>
    </r>
  </si>
  <si>
    <r>
      <t>Composite Stage: Deflection  = 5/384w</t>
    </r>
    <r>
      <rPr>
        <vertAlign val="subscript"/>
        <sz val="14"/>
        <color indexed="8"/>
        <rFont val="Cordia New"/>
        <family val="2"/>
      </rPr>
      <t>T</t>
    </r>
    <r>
      <rPr>
        <sz val="14"/>
        <color indexed="8"/>
        <rFont val="Cordia New"/>
        <family val="2"/>
      </rPr>
      <t>L</t>
    </r>
    <r>
      <rPr>
        <vertAlign val="superscript"/>
        <sz val="14"/>
        <color indexed="8"/>
        <rFont val="Cordia New"/>
        <family val="2"/>
      </rPr>
      <t>4</t>
    </r>
    <r>
      <rPr>
        <sz val="14"/>
        <color indexed="8"/>
        <rFont val="Cordia New"/>
        <family val="2"/>
      </rPr>
      <t>/E</t>
    </r>
    <r>
      <rPr>
        <vertAlign val="subscript"/>
        <sz val="14"/>
        <color indexed="8"/>
        <rFont val="Cordia New"/>
        <family val="2"/>
      </rPr>
      <t>c</t>
    </r>
    <r>
      <rPr>
        <sz val="14"/>
        <color indexed="8"/>
        <rFont val="Cordia New"/>
        <family val="2"/>
      </rPr>
      <t>I</t>
    </r>
    <r>
      <rPr>
        <vertAlign val="subscript"/>
        <sz val="14"/>
        <color indexed="8"/>
        <rFont val="Cordia New"/>
        <family val="2"/>
      </rPr>
      <t>trc</t>
    </r>
    <r>
      <rPr>
        <sz val="14"/>
        <color indexed="8"/>
        <rFont val="Cordia New"/>
        <family val="2"/>
      </rPr>
      <t xml:space="preserve">  =</t>
    </r>
  </si>
  <si>
    <r>
      <t>Liveload Deflection  = 5/384w</t>
    </r>
    <r>
      <rPr>
        <vertAlign val="subscript"/>
        <sz val="14"/>
        <color indexed="8"/>
        <rFont val="Cordia New"/>
        <family val="2"/>
      </rPr>
      <t>L</t>
    </r>
    <r>
      <rPr>
        <sz val="14"/>
        <color indexed="8"/>
        <rFont val="Cordia New"/>
        <family val="2"/>
      </rPr>
      <t>L</t>
    </r>
    <r>
      <rPr>
        <vertAlign val="superscript"/>
        <sz val="14"/>
        <color indexed="8"/>
        <rFont val="Cordia New"/>
        <family val="2"/>
      </rPr>
      <t>4</t>
    </r>
    <r>
      <rPr>
        <sz val="14"/>
        <color indexed="8"/>
        <rFont val="Cordia New"/>
        <family val="2"/>
      </rPr>
      <t>/EsI</t>
    </r>
    <r>
      <rPr>
        <vertAlign val="subscript"/>
        <sz val="14"/>
        <color indexed="8"/>
        <rFont val="Cordia New"/>
        <family val="2"/>
      </rPr>
      <t>trs</t>
    </r>
    <r>
      <rPr>
        <sz val="14"/>
        <color indexed="8"/>
        <rFont val="Cordia New"/>
        <family val="2"/>
      </rPr>
      <t xml:space="preserve">  =</t>
    </r>
  </si>
  <si>
    <r>
      <t>Composite Stage: Deflection  = 5/384w</t>
    </r>
    <r>
      <rPr>
        <vertAlign val="subscript"/>
        <sz val="14"/>
        <color indexed="8"/>
        <rFont val="Cordia New"/>
        <family val="2"/>
      </rPr>
      <t>T</t>
    </r>
    <r>
      <rPr>
        <sz val="14"/>
        <color indexed="8"/>
        <rFont val="Cordia New"/>
        <family val="2"/>
      </rPr>
      <t>L</t>
    </r>
    <r>
      <rPr>
        <vertAlign val="superscript"/>
        <sz val="14"/>
        <color indexed="8"/>
        <rFont val="Cordia New"/>
        <family val="2"/>
      </rPr>
      <t>4</t>
    </r>
    <r>
      <rPr>
        <sz val="14"/>
        <color indexed="8"/>
        <rFont val="Cordia New"/>
        <family val="2"/>
      </rPr>
      <t>/EsI</t>
    </r>
    <r>
      <rPr>
        <vertAlign val="subscript"/>
        <sz val="14"/>
        <color indexed="8"/>
        <rFont val="Cordia New"/>
        <family val="2"/>
      </rPr>
      <t>trs</t>
    </r>
    <r>
      <rPr>
        <sz val="14"/>
        <color indexed="8"/>
        <rFont val="Cordia New"/>
        <family val="2"/>
      </rPr>
      <t xml:space="preserve">  =</t>
    </r>
  </si>
  <si>
    <r>
      <t>Steel only:Horizontal Deflection  = 5/384w</t>
    </r>
    <r>
      <rPr>
        <vertAlign val="subscript"/>
        <sz val="14"/>
        <color indexed="8"/>
        <rFont val="Cordia New"/>
        <family val="2"/>
      </rPr>
      <t>w</t>
    </r>
    <r>
      <rPr>
        <sz val="14"/>
        <color indexed="8"/>
        <rFont val="Cordia New"/>
        <family val="2"/>
      </rPr>
      <t>L</t>
    </r>
    <r>
      <rPr>
        <vertAlign val="superscript"/>
        <sz val="14"/>
        <color indexed="8"/>
        <rFont val="Cordia New"/>
        <family val="2"/>
      </rPr>
      <t>4</t>
    </r>
    <r>
      <rPr>
        <sz val="14"/>
        <color indexed="8"/>
        <rFont val="Cordia New"/>
        <family val="2"/>
      </rPr>
      <t>/no. EsI</t>
    </r>
    <r>
      <rPr>
        <vertAlign val="subscript"/>
        <sz val="14"/>
        <color indexed="8"/>
        <rFont val="Cordia New"/>
        <family val="2"/>
      </rPr>
      <t>y</t>
    </r>
    <r>
      <rPr>
        <sz val="14"/>
        <color indexed="8"/>
        <rFont val="Cordia New"/>
        <family val="2"/>
      </rPr>
      <t xml:space="preserve">  =</t>
    </r>
  </si>
  <si>
    <r>
      <t>Nature frequency  fn  = 1/K(</t>
    </r>
    <r>
      <rPr>
        <sz val="14"/>
        <color indexed="8"/>
        <rFont val="Cordia New"/>
        <family val="2"/>
      </rPr>
      <t>D)</t>
    </r>
    <r>
      <rPr>
        <vertAlign val="superscript"/>
        <sz val="14"/>
        <color indexed="8"/>
        <rFont val="Cordia New"/>
        <family val="2"/>
      </rPr>
      <t>0.5</t>
    </r>
    <r>
      <rPr>
        <sz val="14"/>
        <color indexed="8"/>
        <rFont val="Cordia New"/>
        <family val="2"/>
      </rPr>
      <t xml:space="preserve">  =</t>
    </r>
  </si>
  <si>
    <r>
      <t>f &gt;= 0.18(386/defl.)</t>
    </r>
    <r>
      <rPr>
        <i/>
        <vertAlign val="superscript"/>
        <sz val="14"/>
        <color indexed="8"/>
        <rFont val="Cordia New"/>
        <family val="2"/>
      </rPr>
      <t>0.5</t>
    </r>
    <r>
      <rPr>
        <i/>
        <sz val="14"/>
        <color indexed="8"/>
        <rFont val="Cordia New"/>
        <family val="2"/>
      </rPr>
      <t>(inch)  =</t>
    </r>
  </si>
  <si>
    <r>
      <t>fo</t>
    </r>
    <r>
      <rPr>
        <sz val="14"/>
        <color indexed="8"/>
        <rFont val="Cordia New"/>
        <family val="2"/>
      </rPr>
      <t xml:space="preserve"> &gt;= 2.86 * ln (180/</t>
    </r>
    <r>
      <rPr>
        <i/>
        <sz val="14"/>
        <color indexed="8"/>
        <rFont val="Cordia New"/>
        <family val="2"/>
      </rPr>
      <t>W</t>
    </r>
    <r>
      <rPr>
        <sz val="14"/>
        <color indexed="8"/>
        <rFont val="Cordia New"/>
        <family val="2"/>
      </rPr>
      <t>)(kips)  =</t>
    </r>
  </si>
  <si>
    <r>
      <t xml:space="preserve">f &gt;= 0.18(386/defl.) </t>
    </r>
    <r>
      <rPr>
        <i/>
        <vertAlign val="superscript"/>
        <sz val="14"/>
        <color indexed="8"/>
        <rFont val="Cordia New"/>
        <family val="2"/>
      </rPr>
      <t>0.5</t>
    </r>
    <r>
      <rPr>
        <i/>
        <sz val="14"/>
        <color indexed="8"/>
        <rFont val="Cordia New"/>
        <family val="2"/>
      </rPr>
      <t>(inch)  =</t>
    </r>
  </si>
  <si>
    <t>A Simplified Analysis and Design of Composite Beam Structure</t>
  </si>
  <si>
    <t>Project…………………….</t>
  </si>
  <si>
    <t>Created by  WCK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</si>
</sst>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m/d/yy\ h:mm\ AM/PM"/>
    <numFmt numFmtId="205" formatCode="#,##0.000"/>
    <numFmt numFmtId="206" formatCode="#\ ?/4"/>
    <numFmt numFmtId="207" formatCode="000\-00\-0000"/>
    <numFmt numFmtId="208" formatCode="#,##0.0"/>
    <numFmt numFmtId="209" formatCode="#,##0.0000"/>
    <numFmt numFmtId="210" formatCode="#,##0.00000"/>
    <numFmt numFmtId="211" formatCode=";;;"/>
    <numFmt numFmtId="212" formatCode="&quot;;;;&quot;"/>
    <numFmt numFmtId="213" formatCode="&quot;฿&quot;#,##0.00"/>
    <numFmt numFmtId="214" formatCode="#,##0.0000000000"/>
    <numFmt numFmtId="215" formatCode="#,##0.000000000"/>
    <numFmt numFmtId="216" formatCode="#,##0.0000000"/>
    <numFmt numFmtId="217" formatCode="#,##0.00000000"/>
    <numFmt numFmtId="218" formatCode="m/d/yy"/>
    <numFmt numFmtId="219" formatCode="dd\-mmm\-yy_)"/>
    <numFmt numFmtId="220" formatCode="hh:mm:ss\ AM/PM_)"/>
    <numFmt numFmtId="221" formatCode="m/d"/>
    <numFmt numFmtId="222" formatCode="#,##0.00000_);\(#,##0.00000\)"/>
    <numFmt numFmtId="223" formatCode="d\ ดดดด\ bbbb"/>
    <numFmt numFmtId="224" formatCode="d\-mmm\-yyyy"/>
    <numFmt numFmtId="225" formatCode="0.0"/>
    <numFmt numFmtId="226" formatCode="0.0000"/>
    <numFmt numFmtId="227" formatCode="0.000"/>
    <numFmt numFmtId="228" formatCode="0.00000"/>
    <numFmt numFmtId="229" formatCode="0.000000"/>
    <numFmt numFmtId="230" formatCode="0.0000000"/>
    <numFmt numFmtId="231" formatCode="_(* #,##0.0_);_(* \(#,##0.0\);_(* &quot;-&quot;??_);_(@_)"/>
    <numFmt numFmtId="232" formatCode="0.0000000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color indexed="14"/>
      <name val="AngsanaUPC"/>
      <family val="1"/>
    </font>
    <font>
      <sz val="14"/>
      <name val="AngsanaUPC"/>
      <family val="1"/>
    </font>
    <font>
      <vertAlign val="superscript"/>
      <sz val="16"/>
      <name val="AngsanaUPC"/>
      <family val="1"/>
    </font>
    <font>
      <sz val="12"/>
      <color indexed="14"/>
      <name val="AngsanaUPC"/>
      <family val="1"/>
    </font>
    <font>
      <sz val="14"/>
      <color indexed="14"/>
      <name val="AngsanaUPC"/>
      <family val="1"/>
    </font>
    <font>
      <sz val="14"/>
      <name val="Cordia New"/>
      <family val="2"/>
    </font>
    <font>
      <vertAlign val="superscript"/>
      <sz val="14"/>
      <name val="Cordia New"/>
      <family val="2"/>
    </font>
    <font>
      <vertAlign val="subscript"/>
      <sz val="14"/>
      <name val="Cordia New"/>
      <family val="2"/>
    </font>
    <font>
      <b/>
      <sz val="14"/>
      <name val="Cordia New"/>
      <family val="2"/>
    </font>
    <font>
      <sz val="8"/>
      <name val="Cordia New"/>
      <family val="2"/>
    </font>
    <font>
      <sz val="10"/>
      <name val="Cordia New"/>
      <family val="2"/>
    </font>
    <font>
      <b/>
      <sz val="20"/>
      <name val="Cordia New"/>
      <family val="2"/>
    </font>
    <font>
      <b/>
      <sz val="16"/>
      <name val="Cordia New"/>
      <family val="2"/>
    </font>
    <font>
      <sz val="14"/>
      <color indexed="9"/>
      <name val="Cordia New"/>
      <family val="2"/>
    </font>
    <font>
      <sz val="16"/>
      <color indexed="12"/>
      <name val="AngsanaUPC"/>
      <family val="1"/>
    </font>
    <font>
      <sz val="14"/>
      <color indexed="10"/>
      <name val="Cordia New"/>
      <family val="2"/>
    </font>
    <font>
      <b/>
      <sz val="18"/>
      <name val="Cordia New"/>
      <family val="2"/>
    </font>
    <font>
      <sz val="14"/>
      <color indexed="22"/>
      <name val="Cordia New"/>
      <family val="2"/>
    </font>
    <font>
      <sz val="14"/>
      <color indexed="8"/>
      <name val="Cordia New"/>
      <family val="2"/>
    </font>
    <font>
      <vertAlign val="subscript"/>
      <sz val="14"/>
      <color indexed="8"/>
      <name val="Cordia New"/>
      <family val="2"/>
    </font>
    <font>
      <vertAlign val="superscript"/>
      <sz val="14"/>
      <color indexed="8"/>
      <name val="Cordia New"/>
      <family val="2"/>
    </font>
    <font>
      <sz val="16"/>
      <name val="Cordia New"/>
      <family val="2"/>
    </font>
    <font>
      <i/>
      <vertAlign val="superscript"/>
      <sz val="14"/>
      <color indexed="8"/>
      <name val="Cordia New"/>
      <family val="2"/>
    </font>
    <font>
      <i/>
      <sz val="14"/>
      <color indexed="8"/>
      <name val="Cordia New"/>
      <family val="2"/>
    </font>
    <font>
      <sz val="20"/>
      <name val="Cordia New"/>
      <family val="2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4"/>
      <name val="AngsanaUPC"/>
      <family val="2"/>
    </font>
    <font>
      <b/>
      <sz val="13"/>
      <color indexed="54"/>
      <name val="AngsanaUPC"/>
      <family val="2"/>
    </font>
    <font>
      <b/>
      <sz val="11"/>
      <color indexed="54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sz val="18"/>
      <color indexed="54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16"/>
      <color indexed="8"/>
      <name val="Cordia New"/>
      <family val="2"/>
    </font>
    <font>
      <i/>
      <sz val="10"/>
      <color indexed="8"/>
      <name val="Cordia New"/>
      <family val="2"/>
    </font>
    <font>
      <sz val="16"/>
      <color indexed="8"/>
      <name val="Cordia New"/>
      <family val="2"/>
    </font>
    <font>
      <sz val="8"/>
      <name val="Segoe UI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sz val="18"/>
      <color theme="3"/>
      <name val="Calibri Light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16"/>
      <color theme="1"/>
      <name val="Cordia New"/>
      <family val="2"/>
    </font>
    <font>
      <sz val="14"/>
      <color theme="1"/>
      <name val="Cordia New"/>
      <family val="2"/>
    </font>
    <font>
      <i/>
      <sz val="10"/>
      <color theme="1"/>
      <name val="Cordia New"/>
      <family val="2"/>
    </font>
    <font>
      <sz val="16"/>
      <color theme="1"/>
      <name val="Cordia New"/>
      <family val="2"/>
    </font>
    <font>
      <i/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/>
    </xf>
    <xf numFmtId="205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205" fontId="0" fillId="0" borderId="16" xfId="0" applyNumberFormat="1" applyBorder="1" applyAlignment="1">
      <alignment horizontal="center"/>
    </xf>
    <xf numFmtId="0" fontId="5" fillId="0" borderId="16" xfId="0" applyFont="1" applyBorder="1" applyAlignment="1">
      <alignment horizontal="center"/>
    </xf>
    <xf numFmtId="205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205" fontId="5" fillId="0" borderId="13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205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205" fontId="5" fillId="0" borderId="0" xfId="0" applyNumberFormat="1" applyFont="1" applyBorder="1" applyAlignment="1">
      <alignment horizontal="center"/>
    </xf>
    <xf numFmtId="205" fontId="5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3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5" fontId="5" fillId="0" borderId="19" xfId="0" applyNumberFormat="1" applyFont="1" applyBorder="1" applyAlignment="1">
      <alignment horizontal="center"/>
    </xf>
    <xf numFmtId="205" fontId="5" fillId="0" borderId="20" xfId="0" applyNumberFormat="1" applyFont="1" applyBorder="1" applyAlignment="1">
      <alignment horizontal="center"/>
    </xf>
    <xf numFmtId="205" fontId="5" fillId="0" borderId="0" xfId="0" applyNumberFormat="1" applyFont="1" applyAlignment="1">
      <alignment horizontal="center"/>
    </xf>
    <xf numFmtId="0" fontId="9" fillId="0" borderId="0" xfId="61">
      <alignment/>
      <protection/>
    </xf>
    <xf numFmtId="0" fontId="9" fillId="0" borderId="0" xfId="61" applyAlignment="1">
      <alignment horizontal="center"/>
      <protection/>
    </xf>
    <xf numFmtId="2" fontId="9" fillId="0" borderId="0" xfId="61" applyNumberFormat="1">
      <alignment/>
      <protection/>
    </xf>
    <xf numFmtId="0" fontId="9" fillId="0" borderId="0" xfId="61" applyAlignment="1">
      <alignment horizontal="right"/>
      <protection/>
    </xf>
    <xf numFmtId="0" fontId="12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9" fillId="0" borderId="21" xfId="61" applyBorder="1" applyAlignment="1">
      <alignment horizontal="center"/>
      <protection/>
    </xf>
    <xf numFmtId="0" fontId="9" fillId="0" borderId="22" xfId="61" applyBorder="1" applyAlignment="1">
      <alignment horizontal="center"/>
      <protection/>
    </xf>
    <xf numFmtId="0" fontId="9" fillId="0" borderId="23" xfId="61" applyBorder="1" applyAlignment="1">
      <alignment horizontal="center"/>
      <protection/>
    </xf>
    <xf numFmtId="0" fontId="9" fillId="0" borderId="15" xfId="61" applyBorder="1">
      <alignment/>
      <protection/>
    </xf>
    <xf numFmtId="0" fontId="9" fillId="0" borderId="0" xfId="61" applyBorder="1">
      <alignment/>
      <protection/>
    </xf>
    <xf numFmtId="0" fontId="9" fillId="0" borderId="18" xfId="61" applyBorder="1">
      <alignment/>
      <protection/>
    </xf>
    <xf numFmtId="0" fontId="9" fillId="0" borderId="17" xfId="61" applyBorder="1">
      <alignment/>
      <protection/>
    </xf>
    <xf numFmtId="0" fontId="9" fillId="0" borderId="19" xfId="61" applyBorder="1">
      <alignment/>
      <protection/>
    </xf>
    <xf numFmtId="0" fontId="9" fillId="0" borderId="20" xfId="6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9" fillId="0" borderId="0" xfId="61" applyAlignment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0" xfId="61" applyFont="1">
      <alignment/>
      <protection/>
    </xf>
    <xf numFmtId="2" fontId="9" fillId="0" borderId="0" xfId="61" applyNumberFormat="1" applyFont="1" applyAlignment="1">
      <alignment horizontal="center"/>
      <protection/>
    </xf>
    <xf numFmtId="3" fontId="9" fillId="0" borderId="0" xfId="61" applyNumberFormat="1" applyFont="1" applyFill="1" applyBorder="1" applyProtection="1">
      <alignment/>
      <protection hidden="1"/>
    </xf>
    <xf numFmtId="0" fontId="9" fillId="0" borderId="0" xfId="61" applyFont="1" applyFill="1" applyBorder="1" applyAlignment="1" applyProtection="1" quotePrefix="1">
      <alignment horizontal="left"/>
      <protection hidden="1"/>
    </xf>
    <xf numFmtId="2" fontId="9" fillId="0" borderId="0" xfId="61" applyNumberFormat="1" applyFont="1" applyFill="1" applyBorder="1" applyProtection="1">
      <alignment/>
      <protection hidden="1"/>
    </xf>
    <xf numFmtId="0" fontId="9" fillId="0" borderId="0" xfId="61" applyFont="1" applyFill="1" applyBorder="1" applyAlignment="1" applyProtection="1">
      <alignment horizontal="left"/>
      <protection hidden="1"/>
    </xf>
    <xf numFmtId="0" fontId="9" fillId="0" borderId="0" xfId="61" applyFont="1" applyAlignment="1">
      <alignment horizontal="right"/>
      <protection/>
    </xf>
    <xf numFmtId="1" fontId="9" fillId="0" borderId="0" xfId="61" applyNumberFormat="1" applyFont="1">
      <alignment/>
      <protection/>
    </xf>
    <xf numFmtId="0" fontId="9" fillId="0" borderId="0" xfId="6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horizontal="center"/>
      <protection/>
    </xf>
    <xf numFmtId="2" fontId="9" fillId="0" borderId="0" xfId="61" applyNumberFormat="1" applyFont="1">
      <alignment/>
      <protection/>
    </xf>
    <xf numFmtId="2" fontId="9" fillId="0" borderId="0" xfId="42" applyNumberFormat="1" applyFont="1" applyAlignment="1">
      <alignment/>
    </xf>
    <xf numFmtId="205" fontId="12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227" fontId="9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9" fillId="0" borderId="0" xfId="61" applyFont="1" applyFill="1" applyBorder="1" applyAlignment="1" applyProtection="1" quotePrefix="1">
      <alignment horizontal="right" vertical="center"/>
      <protection hidden="1"/>
    </xf>
    <xf numFmtId="0" fontId="9" fillId="0" borderId="0" xfId="61" applyFont="1" applyFill="1" applyBorder="1" applyAlignment="1" applyProtection="1" quotePrefix="1">
      <alignment horizontal="right"/>
      <protection hidden="1"/>
    </xf>
    <xf numFmtId="0" fontId="9" fillId="0" borderId="0" xfId="61" applyFont="1" applyFill="1" applyBorder="1" applyAlignment="1" applyProtection="1">
      <alignment horizontal="right" vertical="center"/>
      <protection hidden="1"/>
    </xf>
    <xf numFmtId="0" fontId="16" fillId="0" borderId="0" xfId="61" applyFont="1">
      <alignment/>
      <protection/>
    </xf>
    <xf numFmtId="2" fontId="16" fillId="0" borderId="0" xfId="61" applyNumberFormat="1" applyFont="1" applyAlignment="1">
      <alignment horizontal="left"/>
      <protection/>
    </xf>
    <xf numFmtId="0" fontId="16" fillId="0" borderId="0" xfId="61" applyFont="1" applyAlignment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17" fillId="0" borderId="0" xfId="61" applyFont="1">
      <alignment/>
      <protection/>
    </xf>
    <xf numFmtId="0" fontId="17" fillId="0" borderId="0" xfId="61" applyFont="1" applyAlignment="1">
      <alignment horizontal="right"/>
      <protection/>
    </xf>
    <xf numFmtId="0" fontId="17" fillId="0" borderId="0" xfId="61" applyFont="1" applyFill="1">
      <alignment/>
      <protection/>
    </xf>
    <xf numFmtId="0" fontId="18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61" applyFont="1">
      <alignment/>
      <protection/>
    </xf>
    <xf numFmtId="4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1" fontId="19" fillId="0" borderId="0" xfId="61" applyNumberFormat="1" applyFont="1">
      <alignment/>
      <protection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61" applyFont="1">
      <alignment/>
      <protection/>
    </xf>
    <xf numFmtId="4" fontId="9" fillId="0" borderId="0" xfId="61" applyNumberFormat="1">
      <alignment/>
      <protection/>
    </xf>
    <xf numFmtId="0" fontId="19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left"/>
      <protection/>
    </xf>
    <xf numFmtId="225" fontId="9" fillId="0" borderId="0" xfId="61" applyNumberFormat="1">
      <alignment/>
      <protection/>
    </xf>
    <xf numFmtId="0" fontId="5" fillId="0" borderId="11" xfId="0" applyFont="1" applyBorder="1" applyAlignment="1">
      <alignment horizontal="left"/>
    </xf>
    <xf numFmtId="0" fontId="5" fillId="0" borderId="0" xfId="61" applyFont="1">
      <alignment/>
      <protection/>
    </xf>
    <xf numFmtId="0" fontId="67" fillId="0" borderId="0" xfId="61" applyFont="1">
      <alignment/>
      <protection/>
    </xf>
    <xf numFmtId="0" fontId="68" fillId="0" borderId="0" xfId="61" applyFont="1">
      <alignment/>
      <protection/>
    </xf>
    <xf numFmtId="0" fontId="68" fillId="0" borderId="0" xfId="61" applyFont="1" applyAlignment="1">
      <alignment horizontal="right"/>
      <protection/>
    </xf>
    <xf numFmtId="227" fontId="68" fillId="0" borderId="0" xfId="61" applyNumberFormat="1" applyFont="1">
      <alignment/>
      <protection/>
    </xf>
    <xf numFmtId="1" fontId="68" fillId="0" borderId="0" xfId="61" applyNumberFormat="1" applyFont="1">
      <alignment/>
      <protection/>
    </xf>
    <xf numFmtId="2" fontId="68" fillId="0" borderId="0" xfId="61" applyNumberFormat="1" applyFont="1">
      <alignment/>
      <protection/>
    </xf>
    <xf numFmtId="0" fontId="25" fillId="0" borderId="0" xfId="0" applyFont="1" applyAlignment="1">
      <alignment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9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227" fontId="68" fillId="0" borderId="0" xfId="0" applyNumberFormat="1" applyFont="1" applyAlignment="1">
      <alignment horizontal="right"/>
    </xf>
    <xf numFmtId="227" fontId="68" fillId="0" borderId="0" xfId="0" applyNumberFormat="1" applyFont="1" applyAlignment="1">
      <alignment/>
    </xf>
    <xf numFmtId="0" fontId="9" fillId="0" borderId="0" xfId="61" applyFont="1" applyBorder="1">
      <alignment/>
      <protection/>
    </xf>
    <xf numFmtId="0" fontId="25" fillId="0" borderId="0" xfId="61" applyFont="1" applyAlignment="1">
      <alignment horizontal="right"/>
      <protection/>
    </xf>
    <xf numFmtId="0" fontId="28" fillId="0" borderId="0" xfId="61" applyFont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composit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9525</xdr:rowOff>
    </xdr:from>
    <xdr:to>
      <xdr:col>3</xdr:col>
      <xdr:colOff>133350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9505950"/>
          <a:ext cx="1952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28575</xdr:rowOff>
    </xdr:from>
    <xdr:to>
      <xdr:col>2</xdr:col>
      <xdr:colOff>123825</xdr:colOff>
      <xdr:row>31</xdr:row>
      <xdr:rowOff>28575</xdr:rowOff>
    </xdr:to>
    <xdr:sp>
      <xdr:nvSpPr>
        <xdr:cNvPr id="2" name="Line 2"/>
        <xdr:cNvSpPr>
          <a:spLocks/>
        </xdr:cNvSpPr>
      </xdr:nvSpPr>
      <xdr:spPr>
        <a:xfrm>
          <a:off x="847725" y="9820275"/>
          <a:ext cx="609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95250</xdr:rowOff>
    </xdr:from>
    <xdr:to>
      <xdr:col>2</xdr:col>
      <xdr:colOff>123825</xdr:colOff>
      <xdr:row>34</xdr:row>
      <xdr:rowOff>95250</xdr:rowOff>
    </xdr:to>
    <xdr:sp>
      <xdr:nvSpPr>
        <xdr:cNvPr id="3" name="Line 3"/>
        <xdr:cNvSpPr>
          <a:spLocks/>
        </xdr:cNvSpPr>
      </xdr:nvSpPr>
      <xdr:spPr>
        <a:xfrm>
          <a:off x="847725" y="10725150"/>
          <a:ext cx="609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28575</xdr:rowOff>
    </xdr:from>
    <xdr:to>
      <xdr:col>1</xdr:col>
      <xdr:colOff>409575</xdr:colOff>
      <xdr:row>34</xdr:row>
      <xdr:rowOff>95250</xdr:rowOff>
    </xdr:to>
    <xdr:sp>
      <xdr:nvSpPr>
        <xdr:cNvPr id="4" name="Line 4"/>
        <xdr:cNvSpPr>
          <a:spLocks/>
        </xdr:cNvSpPr>
      </xdr:nvSpPr>
      <xdr:spPr>
        <a:xfrm>
          <a:off x="1143000" y="9820275"/>
          <a:ext cx="0" cy="904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219075</xdr:rowOff>
    </xdr:from>
    <xdr:to>
      <xdr:col>2</xdr:col>
      <xdr:colOff>85725</xdr:colOff>
      <xdr:row>34</xdr:row>
      <xdr:rowOff>219075</xdr:rowOff>
    </xdr:to>
    <xdr:sp>
      <xdr:nvSpPr>
        <xdr:cNvPr id="5" name="Line 5"/>
        <xdr:cNvSpPr>
          <a:spLocks/>
        </xdr:cNvSpPr>
      </xdr:nvSpPr>
      <xdr:spPr>
        <a:xfrm>
          <a:off x="847725" y="10848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228600</xdr:colOff>
      <xdr:row>33</xdr:row>
      <xdr:rowOff>276225</xdr:rowOff>
    </xdr:from>
    <xdr:to>
      <xdr:col>2</xdr:col>
      <xdr:colOff>0</xdr:colOff>
      <xdr:row>35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2025" y="106013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7315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bf</a:t>
          </a:r>
        </a:p>
      </xdr:txBody>
    </xdr:sp>
    <xdr:clientData/>
  </xdr:twoCellAnchor>
  <xdr:twoCellAnchor>
    <xdr:from>
      <xdr:col>2</xdr:col>
      <xdr:colOff>95250</xdr:colOff>
      <xdr:row>34</xdr:row>
      <xdr:rowOff>152400</xdr:rowOff>
    </xdr:from>
    <xdr:to>
      <xdr:col>2</xdr:col>
      <xdr:colOff>95250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10782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133350</xdr:rowOff>
    </xdr:from>
    <xdr:to>
      <xdr:col>1</xdr:col>
      <xdr:colOff>114300</xdr:colOff>
      <xdr:row>35</xdr:row>
      <xdr:rowOff>9525</xdr:rowOff>
    </xdr:to>
    <xdr:sp>
      <xdr:nvSpPr>
        <xdr:cNvPr id="8" name="Line 8"/>
        <xdr:cNvSpPr>
          <a:spLocks/>
        </xdr:cNvSpPr>
      </xdr:nvSpPr>
      <xdr:spPr>
        <a:xfrm>
          <a:off x="847725" y="1076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361950</xdr:colOff>
      <xdr:row>31</xdr:row>
      <xdr:rowOff>0</xdr:rowOff>
    </xdr:from>
    <xdr:to>
      <xdr:col>2</xdr:col>
      <xdr:colOff>361950</xdr:colOff>
      <xdr:row>34</xdr:row>
      <xdr:rowOff>76200</xdr:rowOff>
    </xdr:to>
    <xdr:sp>
      <xdr:nvSpPr>
        <xdr:cNvPr id="9" name="Line 9"/>
        <xdr:cNvSpPr>
          <a:spLocks/>
        </xdr:cNvSpPr>
      </xdr:nvSpPr>
      <xdr:spPr>
        <a:xfrm>
          <a:off x="1695450" y="97917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247650</xdr:colOff>
      <xdr:row>34</xdr:row>
      <xdr:rowOff>95250</xdr:rowOff>
    </xdr:from>
    <xdr:to>
      <xdr:col>2</xdr:col>
      <xdr:colOff>466725</xdr:colOff>
      <xdr:row>34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581150" y="10725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238125</xdr:colOff>
      <xdr:row>32</xdr:row>
      <xdr:rowOff>28575</xdr:rowOff>
    </xdr:from>
    <xdr:to>
      <xdr:col>3</xdr:col>
      <xdr:colOff>0</xdr:colOff>
      <xdr:row>33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71625" y="1008697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7315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333375</xdr:colOff>
      <xdr:row>30</xdr:row>
      <xdr:rowOff>9525</xdr:rowOff>
    </xdr:from>
    <xdr:to>
      <xdr:col>3</xdr:col>
      <xdr:colOff>333375</xdr:colOff>
      <xdr:row>31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266950" y="9505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219075</xdr:rowOff>
    </xdr:from>
    <xdr:to>
      <xdr:col>4</xdr:col>
      <xdr:colOff>0</xdr:colOff>
      <xdr:row>30</xdr:row>
      <xdr:rowOff>247650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200275" y="94488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7315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</xdr:col>
      <xdr:colOff>276225</xdr:colOff>
      <xdr:row>31</xdr:row>
      <xdr:rowOff>9525</xdr:rowOff>
    </xdr:from>
    <xdr:to>
      <xdr:col>3</xdr:col>
      <xdr:colOff>381000</xdr:colOff>
      <xdr:row>31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209800" y="9801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9525</xdr:rowOff>
    </xdr:from>
    <xdr:to>
      <xdr:col>3</xdr:col>
      <xdr:colOff>409575</xdr:colOff>
      <xdr:row>30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200275" y="9505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152400</xdr:rowOff>
    </xdr:from>
    <xdr:to>
      <xdr:col>3</xdr:col>
      <xdr:colOff>133350</xdr:colOff>
      <xdr:row>29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23825" y="9382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228600</xdr:colOff>
      <xdr:row>28</xdr:row>
      <xdr:rowOff>238125</xdr:rowOff>
    </xdr:from>
    <xdr:to>
      <xdr:col>2</xdr:col>
      <xdr:colOff>0</xdr:colOff>
      <xdr:row>29</xdr:row>
      <xdr:rowOff>238125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62025" y="910590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7315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114300</xdr:colOff>
      <xdr:row>29</xdr:row>
      <xdr:rowOff>76200</xdr:rowOff>
    </xdr:from>
    <xdr:to>
      <xdr:col>0</xdr:col>
      <xdr:colOff>114300</xdr:colOff>
      <xdr:row>29</xdr:row>
      <xdr:rowOff>209550</xdr:rowOff>
    </xdr:to>
    <xdr:sp>
      <xdr:nvSpPr>
        <xdr:cNvPr id="18" name="Line 18"/>
        <xdr:cNvSpPr>
          <a:spLocks/>
        </xdr:cNvSpPr>
      </xdr:nvSpPr>
      <xdr:spPr>
        <a:xfrm>
          <a:off x="114300" y="9305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29</xdr:row>
      <xdr:rowOff>66675</xdr:rowOff>
    </xdr:from>
    <xdr:to>
      <xdr:col>3</xdr:col>
      <xdr:colOff>123825</xdr:colOff>
      <xdr:row>29</xdr:row>
      <xdr:rowOff>209550</xdr:rowOff>
    </xdr:to>
    <xdr:sp>
      <xdr:nvSpPr>
        <xdr:cNvPr id="19" name="Line 19"/>
        <xdr:cNvSpPr>
          <a:spLocks/>
        </xdr:cNvSpPr>
      </xdr:nvSpPr>
      <xdr:spPr>
        <a:xfrm>
          <a:off x="2057400" y="9296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219075</xdr:colOff>
      <xdr:row>14</xdr:row>
      <xdr:rowOff>276225</xdr:rowOff>
    </xdr:from>
    <xdr:to>
      <xdr:col>9</xdr:col>
      <xdr:colOff>114300</xdr:colOff>
      <xdr:row>19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3848100" y="5191125"/>
          <a:ext cx="1457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0</xdr:rowOff>
    </xdr:from>
    <xdr:to>
      <xdr:col>7</xdr:col>
      <xdr:colOff>457200</xdr:colOff>
      <xdr:row>19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4495800" y="5191125"/>
          <a:ext cx="95250" cy="1362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209550</xdr:rowOff>
    </xdr:from>
    <xdr:to>
      <xdr:col>8</xdr:col>
      <xdr:colOff>333375</xdr:colOff>
      <xdr:row>21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010025" y="6600825"/>
          <a:ext cx="1162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BAY Length</a:t>
          </a:r>
        </a:p>
      </xdr:txBody>
    </xdr:sp>
    <xdr:clientData/>
  </xdr:twoCellAnchor>
  <xdr:twoCellAnchor>
    <xdr:from>
      <xdr:col>6</xdr:col>
      <xdr:colOff>209550</xdr:colOff>
      <xdr:row>20</xdr:row>
      <xdr:rowOff>28575</xdr:rowOff>
    </xdr:from>
    <xdr:to>
      <xdr:col>9</xdr:col>
      <xdr:colOff>104775</xdr:colOff>
      <xdr:row>20</xdr:row>
      <xdr:rowOff>28575</xdr:rowOff>
    </xdr:to>
    <xdr:sp>
      <xdr:nvSpPr>
        <xdr:cNvPr id="23" name="Line 23"/>
        <xdr:cNvSpPr>
          <a:spLocks/>
        </xdr:cNvSpPr>
      </xdr:nvSpPr>
      <xdr:spPr>
        <a:xfrm>
          <a:off x="3838575" y="66865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219075</xdr:colOff>
      <xdr:row>19</xdr:row>
      <xdr:rowOff>219075</xdr:rowOff>
    </xdr:from>
    <xdr:to>
      <xdr:col>6</xdr:col>
      <xdr:colOff>219075</xdr:colOff>
      <xdr:row>20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3848100" y="6610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219075</xdr:rowOff>
    </xdr:from>
    <xdr:to>
      <xdr:col>9</xdr:col>
      <xdr:colOff>114300</xdr:colOff>
      <xdr:row>20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305425" y="6610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276225</xdr:rowOff>
    </xdr:from>
    <xdr:to>
      <xdr:col>10</xdr:col>
      <xdr:colOff>0</xdr:colOff>
      <xdr:row>19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5857875" y="51911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152400</xdr:rowOff>
    </xdr:from>
    <xdr:to>
      <xdr:col>10</xdr:col>
      <xdr:colOff>142875</xdr:colOff>
      <xdr:row>19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5514975" y="6543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276225</xdr:rowOff>
    </xdr:from>
    <xdr:to>
      <xdr:col>10</xdr:col>
      <xdr:colOff>114300</xdr:colOff>
      <xdr:row>14</xdr:row>
      <xdr:rowOff>276225</xdr:rowOff>
    </xdr:to>
    <xdr:sp>
      <xdr:nvSpPr>
        <xdr:cNvPr id="28" name="Line 28"/>
        <xdr:cNvSpPr>
          <a:spLocks/>
        </xdr:cNvSpPr>
      </xdr:nvSpPr>
      <xdr:spPr>
        <a:xfrm>
          <a:off x="5562600" y="5191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190500</xdr:rowOff>
    </xdr:from>
    <xdr:to>
      <xdr:col>10</xdr:col>
      <xdr:colOff>476250</xdr:colOff>
      <xdr:row>17</xdr:row>
      <xdr:rowOff>295275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257800" y="570547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Span Length</a:t>
          </a:r>
        </a:p>
      </xdr:txBody>
    </xdr:sp>
    <xdr:clientData/>
  </xdr:twoCellAnchor>
  <xdr:twoCellAnchor>
    <xdr:from>
      <xdr:col>7</xdr:col>
      <xdr:colOff>190500</xdr:colOff>
      <xdr:row>16</xdr:row>
      <xdr:rowOff>171450</xdr:rowOff>
    </xdr:from>
    <xdr:to>
      <xdr:col>9</xdr:col>
      <xdr:colOff>295275</xdr:colOff>
      <xdr:row>17</xdr:row>
      <xdr:rowOff>276225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324350" y="5686425"/>
          <a:ext cx="1162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Beam Line</a:t>
          </a:r>
        </a:p>
      </xdr:txBody>
    </xdr:sp>
    <xdr:clientData/>
  </xdr:twoCellAnchor>
  <xdr:twoCellAnchor editAs="oneCell">
    <xdr:from>
      <xdr:col>0</xdr:col>
      <xdr:colOff>352425</xdr:colOff>
      <xdr:row>2</xdr:row>
      <xdr:rowOff>171450</xdr:rowOff>
    </xdr:from>
    <xdr:to>
      <xdr:col>10</xdr:col>
      <xdr:colOff>238125</xdr:colOff>
      <xdr:row>14</xdr:row>
      <xdr:rowOff>171450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14400"/>
          <a:ext cx="5743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SERM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"/>
      <sheetName val="Ground Slab(GS)"/>
      <sheetName val="Slab"/>
      <sheetName val="Prefab Slab"/>
      <sheetName val="Stair"/>
      <sheetName val="Beam"/>
      <sheetName val="Column"/>
      <sheetName val="Bracket"/>
      <sheetName val="Spead Footing"/>
      <sheetName val="Strap Footing"/>
      <sheetName val="Pile"/>
      <sheetName val="Hiley's"/>
      <sheetName val="R.C. Fin &amp; Bearing Wall"/>
      <sheetName val="Tanks of Water"/>
      <sheetName val="Retaining  Wall"/>
      <sheetName val="Grating"/>
      <sheetName val="General"/>
      <sheetName val="TTension"/>
      <sheetName val="Tcomp. "/>
      <sheetName val="TBEAM"/>
      <sheetName val="TSTAIR"/>
      <sheetName val="ใบปะหน้า ก.ว."/>
    </sheetNames>
    <sheetDataSet>
      <sheetData sheetId="0">
        <row r="38">
          <cell r="A38" t="str">
            <v>****  SERMP - RC. V.1.0  ****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85" zoomScaleNormal="85" zoomScalePageLayoutView="0" workbookViewId="0" topLeftCell="A1">
      <selection activeCell="L73" sqref="L73"/>
    </sheetView>
  </sheetViews>
  <sheetFormatPr defaultColWidth="9.140625" defaultRowHeight="23.25"/>
  <cols>
    <col min="1" max="1" width="11.00390625" style="47" customWidth="1"/>
    <col min="2" max="3" width="9.00390625" style="47" customWidth="1"/>
    <col min="4" max="4" width="8.28125" style="47" customWidth="1"/>
    <col min="5" max="5" width="7.57421875" style="47" customWidth="1"/>
    <col min="6" max="6" width="9.57421875" style="47" customWidth="1"/>
    <col min="7" max="7" width="7.57421875" style="47" customWidth="1"/>
    <col min="8" max="8" width="10.57421875" style="47" customWidth="1"/>
    <col min="9" max="9" width="5.28125" style="47" customWidth="1"/>
    <col min="10" max="10" width="10.00390625" style="47" customWidth="1"/>
    <col min="11" max="11" width="9.140625" style="47" customWidth="1"/>
    <col min="12" max="12" width="9.00390625" style="47" customWidth="1"/>
    <col min="13" max="16384" width="9.140625" style="47" customWidth="1"/>
  </cols>
  <sheetData>
    <row r="1" ht="28.5">
      <c r="A1" s="83" t="s">
        <v>247</v>
      </c>
    </row>
    <row r="2" spans="1:10" ht="30">
      <c r="A2" s="130" t="s">
        <v>248</v>
      </c>
      <c r="J2" s="129" t="s">
        <v>249</v>
      </c>
    </row>
    <row r="3" ht="29.25">
      <c r="A3" s="83"/>
    </row>
    <row r="4" ht="29.25">
      <c r="A4" s="83"/>
    </row>
    <row r="5" ht="29.25">
      <c r="A5" s="83"/>
    </row>
    <row r="6" ht="29.25">
      <c r="A6" s="83"/>
    </row>
    <row r="7" ht="29.25">
      <c r="A7" s="83"/>
    </row>
    <row r="8" ht="29.25">
      <c r="A8" s="83"/>
    </row>
    <row r="9" ht="29.25">
      <c r="A9" s="83"/>
    </row>
    <row r="10" ht="29.25">
      <c r="A10" s="83"/>
    </row>
    <row r="11" ht="29.25">
      <c r="A11" s="83"/>
    </row>
    <row r="12" ht="21.75"/>
    <row r="13" ht="21.75"/>
    <row r="14" ht="21.75"/>
    <row r="15" spans="11:13" ht="21.75">
      <c r="K15" s="48"/>
      <c r="L15" s="48"/>
      <c r="M15" s="48"/>
    </row>
    <row r="16" spans="1:13" ht="25.5">
      <c r="A16" s="98" t="s">
        <v>201</v>
      </c>
      <c r="C16" s="63" t="s">
        <v>219</v>
      </c>
      <c r="D16" s="47">
        <v>3</v>
      </c>
      <c r="E16" s="47" t="s">
        <v>3</v>
      </c>
      <c r="K16" s="49"/>
      <c r="L16" s="49"/>
      <c r="M16" s="49"/>
    </row>
    <row r="17" spans="3:13" ht="21">
      <c r="C17" s="50" t="s">
        <v>144</v>
      </c>
      <c r="D17" s="109">
        <v>2.2</v>
      </c>
      <c r="E17" s="47" t="s">
        <v>3</v>
      </c>
      <c r="K17" s="49"/>
      <c r="L17" s="49"/>
      <c r="M17" s="49"/>
    </row>
    <row r="18" spans="3:13" ht="24">
      <c r="C18" s="50" t="s">
        <v>145</v>
      </c>
      <c r="D18" s="47">
        <v>300</v>
      </c>
      <c r="E18" s="47" t="s">
        <v>148</v>
      </c>
      <c r="K18" s="49"/>
      <c r="L18" s="49"/>
      <c r="M18" s="49"/>
    </row>
    <row r="19" spans="3:13" ht="24">
      <c r="C19" s="50" t="s">
        <v>149</v>
      </c>
      <c r="D19" s="47">
        <f>240*1+100</f>
        <v>340</v>
      </c>
      <c r="E19" s="47" t="s">
        <v>148</v>
      </c>
      <c r="K19" s="49"/>
      <c r="L19" s="49"/>
      <c r="M19" s="49"/>
    </row>
    <row r="20" spans="3:14" ht="21">
      <c r="C20" s="50" t="s">
        <v>150</v>
      </c>
      <c r="D20" s="104">
        <f>F20+300</f>
        <v>309.3</v>
      </c>
      <c r="E20" s="62" t="s">
        <v>230</v>
      </c>
      <c r="F20" s="99">
        <f>composite!C50</f>
        <v>9.3</v>
      </c>
      <c r="G20" s="100"/>
      <c r="J20" s="91"/>
      <c r="K20" s="91"/>
      <c r="L20" s="91"/>
      <c r="M20" s="91"/>
      <c r="N20" s="91"/>
    </row>
    <row r="21" spans="3:14" ht="24">
      <c r="C21" s="63" t="s">
        <v>229</v>
      </c>
      <c r="D21" s="51">
        <f>D18+D19+D20/D16</f>
        <v>743.1</v>
      </c>
      <c r="E21" s="62" t="s">
        <v>148</v>
      </c>
      <c r="J21" s="92"/>
      <c r="K21" s="91"/>
      <c r="L21" s="91"/>
      <c r="M21" s="91"/>
      <c r="N21" s="91"/>
    </row>
    <row r="22" spans="2:14" ht="21">
      <c r="B22" s="62" t="s">
        <v>228</v>
      </c>
      <c r="C22" s="50"/>
      <c r="G22" s="108" t="s">
        <v>234</v>
      </c>
      <c r="J22" s="91"/>
      <c r="K22" s="91"/>
      <c r="L22" s="92"/>
      <c r="M22" s="93"/>
      <c r="N22" s="91"/>
    </row>
    <row r="23" spans="3:9" ht="21">
      <c r="C23" s="53" t="s">
        <v>4</v>
      </c>
      <c r="D23" s="54" t="s">
        <v>147</v>
      </c>
      <c r="E23" s="55" t="s">
        <v>146</v>
      </c>
      <c r="G23" s="63" t="s">
        <v>166</v>
      </c>
      <c r="H23" s="47">
        <f>C24*1000</f>
        <v>804.2265000000001</v>
      </c>
      <c r="I23" s="62" t="s">
        <v>180</v>
      </c>
    </row>
    <row r="24" spans="2:9" ht="24">
      <c r="B24" s="50" t="s">
        <v>151</v>
      </c>
      <c r="C24" s="56">
        <f>(($D$19)*D16+D20)*$D$17^2/8/1000</f>
        <v>0.8042265000000001</v>
      </c>
      <c r="D24" s="57">
        <f>($D$18)*D16*$D$17^2/8/1000</f>
        <v>0.5445000000000001</v>
      </c>
      <c r="E24" s="58">
        <f>((D18+D19)*D16+D20)*$D$17^2/8/1000</f>
        <v>1.3487265000000002</v>
      </c>
      <c r="G24" s="63" t="s">
        <v>167</v>
      </c>
      <c r="H24" s="47">
        <f>D24*1000</f>
        <v>544.5000000000001</v>
      </c>
      <c r="I24" s="62" t="s">
        <v>181</v>
      </c>
    </row>
    <row r="25" spans="2:9" ht="21">
      <c r="B25" s="52" t="s">
        <v>152</v>
      </c>
      <c r="C25" s="59">
        <f>($D$19*D16+$D$20)*$D$17/2/1000</f>
        <v>1.46223</v>
      </c>
      <c r="D25" s="60">
        <f>($D$18)*D16*$D$17/2/1000</f>
        <v>0.9900000000000001</v>
      </c>
      <c r="E25" s="61">
        <f>D25+C25</f>
        <v>2.45223</v>
      </c>
      <c r="G25" s="63" t="s">
        <v>185</v>
      </c>
      <c r="H25" s="47">
        <f>E24*1000</f>
        <v>1348.7265000000002</v>
      </c>
      <c r="I25" s="62" t="s">
        <v>181</v>
      </c>
    </row>
    <row r="26" ht="21">
      <c r="G26" s="49"/>
    </row>
    <row r="27" spans="3:4" ht="21">
      <c r="C27" s="63" t="s">
        <v>183</v>
      </c>
      <c r="D27" s="48">
        <v>1</v>
      </c>
    </row>
    <row r="28" spans="3:4" ht="21">
      <c r="C28" s="63"/>
      <c r="D28" s="48"/>
    </row>
    <row r="29" spans="1:10" ht="28.5">
      <c r="A29" s="83" t="s">
        <v>235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1">
      <c r="A30" s="66"/>
      <c r="B30" s="66"/>
      <c r="C30" s="66"/>
      <c r="D30" s="67"/>
      <c r="E30" s="66"/>
      <c r="F30" s="66"/>
      <c r="G30" s="66"/>
      <c r="H30" s="66"/>
      <c r="I30" s="66"/>
      <c r="J30" s="66"/>
    </row>
    <row r="31" spans="1:10" ht="23.25">
      <c r="A31" s="66"/>
      <c r="B31" s="66"/>
      <c r="C31" s="66"/>
      <c r="D31" s="66"/>
      <c r="E31" s="66"/>
      <c r="F31" s="66"/>
      <c r="G31" s="88" t="s">
        <v>187</v>
      </c>
      <c r="H31" s="66"/>
      <c r="I31" s="66"/>
      <c r="J31" s="66"/>
    </row>
    <row r="32" spans="1:10" ht="21">
      <c r="A32" s="66"/>
      <c r="B32" s="66"/>
      <c r="C32" s="66"/>
      <c r="D32" s="66"/>
      <c r="E32" s="66"/>
      <c r="F32" s="66"/>
      <c r="G32" s="84" t="s">
        <v>156</v>
      </c>
      <c r="H32" s="68">
        <v>175</v>
      </c>
      <c r="I32" s="69" t="s">
        <v>153</v>
      </c>
      <c r="J32" s="66"/>
    </row>
    <row r="33" spans="1:10" ht="21">
      <c r="A33" s="66"/>
      <c r="B33" s="66"/>
      <c r="C33" s="66"/>
      <c r="D33" s="66"/>
      <c r="E33" s="66"/>
      <c r="F33" s="66"/>
      <c r="G33" s="85" t="s">
        <v>157</v>
      </c>
      <c r="H33" s="68">
        <v>2040000</v>
      </c>
      <c r="I33" s="69" t="s">
        <v>153</v>
      </c>
      <c r="J33" s="66"/>
    </row>
    <row r="34" spans="1:13" ht="24">
      <c r="A34" s="66"/>
      <c r="B34" s="66"/>
      <c r="C34" s="66"/>
      <c r="D34" s="66"/>
      <c r="E34" s="66"/>
      <c r="F34" s="66"/>
      <c r="G34" s="84" t="s">
        <v>186</v>
      </c>
      <c r="H34" s="68">
        <f>(H32^0.5)*15210</f>
        <v>201209.38720646212</v>
      </c>
      <c r="I34" s="69" t="s">
        <v>153</v>
      </c>
      <c r="J34" s="66"/>
      <c r="M34" s="50"/>
    </row>
    <row r="35" spans="1:10" ht="21">
      <c r="A35" s="66"/>
      <c r="B35" s="66"/>
      <c r="C35" s="66"/>
      <c r="D35" s="66"/>
      <c r="E35" s="66"/>
      <c r="F35" s="66"/>
      <c r="G35" s="84" t="s">
        <v>182</v>
      </c>
      <c r="H35" s="70">
        <f>H33/H34</f>
        <v>10.138691978156785</v>
      </c>
      <c r="I35" s="71"/>
      <c r="J35" s="69"/>
    </row>
    <row r="36" spans="1:15" ht="21">
      <c r="A36" s="51" t="s">
        <v>194</v>
      </c>
      <c r="F36" s="66"/>
      <c r="G36" s="86" t="s">
        <v>158</v>
      </c>
      <c r="H36" s="78">
        <f>D17</f>
        <v>2.2</v>
      </c>
      <c r="I36" s="66" t="s">
        <v>154</v>
      </c>
      <c r="J36" s="74"/>
      <c r="M36" s="50"/>
      <c r="O36" s="50"/>
    </row>
    <row r="37" spans="1:10" ht="21">
      <c r="A37" s="72" t="s">
        <v>174</v>
      </c>
      <c r="B37" s="66">
        <f>+H36/4</f>
        <v>0.55</v>
      </c>
      <c r="C37" s="66" t="s">
        <v>3</v>
      </c>
      <c r="D37" s="72"/>
      <c r="E37" s="66"/>
      <c r="F37" s="66"/>
      <c r="G37" s="86" t="s">
        <v>159</v>
      </c>
      <c r="H37" s="66">
        <v>0.1</v>
      </c>
      <c r="I37" s="66" t="s">
        <v>154</v>
      </c>
      <c r="J37" s="66"/>
    </row>
    <row r="38" spans="1:10" ht="21">
      <c r="A38" s="72" t="s">
        <v>220</v>
      </c>
      <c r="B38" s="66">
        <v>0.8</v>
      </c>
      <c r="C38" s="66" t="s">
        <v>184</v>
      </c>
      <c r="D38" s="66">
        <f>MIN(B37:B39)</f>
        <v>0.55</v>
      </c>
      <c r="E38" s="66" t="s">
        <v>221</v>
      </c>
      <c r="F38" s="66"/>
      <c r="G38" s="86" t="s">
        <v>160</v>
      </c>
      <c r="H38" s="66">
        <f>C46/1000</f>
        <v>0.05</v>
      </c>
      <c r="I38" s="66" t="s">
        <v>154</v>
      </c>
      <c r="J38" s="66"/>
    </row>
    <row r="39" spans="1:10" ht="21">
      <c r="A39" s="72" t="s">
        <v>155</v>
      </c>
      <c r="B39" s="66">
        <f>16*H37+H38</f>
        <v>1.6500000000000001</v>
      </c>
      <c r="C39" s="66" t="s">
        <v>3</v>
      </c>
      <c r="D39" s="66"/>
      <c r="E39" s="66"/>
      <c r="F39" s="66"/>
      <c r="G39" s="66"/>
      <c r="H39" s="66"/>
      <c r="I39" s="66"/>
      <c r="J39" s="66"/>
    </row>
    <row r="40" spans="2:10" ht="23.25">
      <c r="B40" s="66"/>
      <c r="C40" s="66"/>
      <c r="D40" s="66"/>
      <c r="E40" s="66"/>
      <c r="F40" s="66"/>
      <c r="G40" s="87" t="s">
        <v>189</v>
      </c>
      <c r="J40" s="66"/>
    </row>
    <row r="41" spans="1:10" ht="21">
      <c r="A41" s="51" t="s">
        <v>188</v>
      </c>
      <c r="B41" s="76"/>
      <c r="C41" s="77"/>
      <c r="D41" s="75"/>
      <c r="E41" s="66"/>
      <c r="F41" s="66"/>
      <c r="G41" s="72" t="s">
        <v>197</v>
      </c>
      <c r="H41" s="78">
        <f>composite!H24</f>
        <v>544.5000000000001</v>
      </c>
      <c r="I41" s="66" t="s">
        <v>0</v>
      </c>
      <c r="J41" s="66"/>
    </row>
    <row r="42" spans="1:10" ht="21.75">
      <c r="A42" s="76" t="s">
        <v>218</v>
      </c>
      <c r="B42" s="76"/>
      <c r="C42" s="102">
        <v>6</v>
      </c>
      <c r="D42" s="102">
        <v>1</v>
      </c>
      <c r="G42" s="72" t="s">
        <v>198</v>
      </c>
      <c r="H42" s="78">
        <f>composite!H23</f>
        <v>804.2265000000001</v>
      </c>
      <c r="I42" s="66" t="s">
        <v>0</v>
      </c>
      <c r="J42" s="66"/>
    </row>
    <row r="43" spans="1:10" ht="13.5" customHeight="1">
      <c r="A43" s="97" t="s">
        <v>142</v>
      </c>
      <c r="B43" s="76"/>
      <c r="D43" s="90"/>
      <c r="F43" s="111"/>
      <c r="J43" s="66"/>
    </row>
    <row r="44" spans="1:11" ht="23.25">
      <c r="A44" s="76" t="s">
        <v>141</v>
      </c>
      <c r="B44" s="76"/>
      <c r="C44" s="77" t="str">
        <f>Table2!R6</f>
        <v>H- 100*50 mm.(9.3 kg./m.)</v>
      </c>
      <c r="D44" s="75"/>
      <c r="E44" s="66"/>
      <c r="F44" s="66"/>
      <c r="G44" s="87" t="s">
        <v>190</v>
      </c>
      <c r="H44" s="66"/>
      <c r="I44" s="66"/>
      <c r="J44" s="66"/>
      <c r="K44" s="64"/>
    </row>
    <row r="45" spans="1:10" ht="21">
      <c r="A45" s="76" t="s">
        <v>164</v>
      </c>
      <c r="B45" s="66"/>
      <c r="C45" s="77">
        <f>Table2!R7</f>
        <v>100</v>
      </c>
      <c r="D45" s="75" t="s">
        <v>7</v>
      </c>
      <c r="E45" s="66"/>
      <c r="F45" s="66"/>
      <c r="G45" s="72" t="s">
        <v>161</v>
      </c>
      <c r="H45" s="78">
        <f>D38/H35*100</f>
        <v>5.424762890370303</v>
      </c>
      <c r="I45" s="66" t="s">
        <v>11</v>
      </c>
      <c r="J45" s="66"/>
    </row>
    <row r="46" spans="1:10" ht="21">
      <c r="A46" s="76" t="s">
        <v>165</v>
      </c>
      <c r="B46" s="66"/>
      <c r="C46" s="77">
        <f>Table2!R8</f>
        <v>50</v>
      </c>
      <c r="D46" s="75" t="s">
        <v>7</v>
      </c>
      <c r="E46" s="66"/>
      <c r="F46" s="66"/>
      <c r="G46" s="72" t="s">
        <v>163</v>
      </c>
      <c r="H46" s="78">
        <f>C49+(H37*100*H45)</f>
        <v>66.09762890370303</v>
      </c>
      <c r="I46" s="75" t="s">
        <v>132</v>
      </c>
      <c r="J46" s="66"/>
    </row>
    <row r="47" spans="1:10" ht="21">
      <c r="A47" s="76" t="s">
        <v>140</v>
      </c>
      <c r="B47" s="76"/>
      <c r="C47" s="77">
        <f>Table2!R9</f>
        <v>5</v>
      </c>
      <c r="D47" s="75" t="s">
        <v>7</v>
      </c>
      <c r="E47" s="66"/>
      <c r="F47" s="66"/>
      <c r="G47" s="72" t="s">
        <v>162</v>
      </c>
      <c r="H47" s="78">
        <f>((C49*C45/10/2)+(H45*H37*100*(C45/10+(H37*100/2))))/H46</f>
        <v>13.2071974144089</v>
      </c>
      <c r="I47" s="75" t="s">
        <v>11</v>
      </c>
      <c r="J47" s="66"/>
    </row>
    <row r="48" spans="1:12" ht="21">
      <c r="A48" s="76" t="s">
        <v>139</v>
      </c>
      <c r="B48" s="76"/>
      <c r="C48" s="77">
        <f>Table2!R10</f>
        <v>7</v>
      </c>
      <c r="D48" s="75" t="s">
        <v>7</v>
      </c>
      <c r="E48" s="66"/>
      <c r="F48" s="66"/>
      <c r="G48" s="72" t="s">
        <v>199</v>
      </c>
      <c r="H48" s="79">
        <f>C52+(C49*(H47-(C45/10/2))^2)+(1/12*H45*(H37*100)^3)+(H45*(H37*100)*(C45/10+(H37*100/2)-H47)^2)</f>
        <v>1611.6164678049795</v>
      </c>
      <c r="I48" s="75" t="s">
        <v>133</v>
      </c>
      <c r="L48" s="62"/>
    </row>
    <row r="49" spans="1:10" ht="21">
      <c r="A49" s="76" t="s">
        <v>138</v>
      </c>
      <c r="B49" s="76"/>
      <c r="C49" s="77">
        <f>Table2!R12</f>
        <v>11.85</v>
      </c>
      <c r="D49" s="75" t="s">
        <v>132</v>
      </c>
      <c r="E49" s="66"/>
      <c r="F49" s="66"/>
      <c r="G49" s="66" t="s">
        <v>195</v>
      </c>
      <c r="H49" s="79">
        <f>H48/(C45/10+(H37*100)-H47)</f>
        <v>237.25354115597915</v>
      </c>
      <c r="I49" s="75" t="s">
        <v>131</v>
      </c>
      <c r="J49" s="66"/>
    </row>
    <row r="50" spans="1:10" ht="21">
      <c r="A50" s="76" t="s">
        <v>137</v>
      </c>
      <c r="B50" s="76"/>
      <c r="C50" s="77">
        <f>Table2!R11</f>
        <v>9.3</v>
      </c>
      <c r="D50" s="75" t="s">
        <v>9</v>
      </c>
      <c r="E50" s="66"/>
      <c r="F50" s="66"/>
      <c r="G50" s="66" t="s">
        <v>196</v>
      </c>
      <c r="H50" s="79">
        <f>H48/H47</f>
        <v>122.02562112433668</v>
      </c>
      <c r="I50" s="75" t="s">
        <v>131</v>
      </c>
      <c r="J50" s="66"/>
    </row>
    <row r="51" spans="1:10" ht="23.25">
      <c r="A51" s="76" t="s">
        <v>136</v>
      </c>
      <c r="B51" s="76"/>
      <c r="C51" s="77">
        <f>Table2!R13</f>
        <v>37.5</v>
      </c>
      <c r="D51" s="75" t="s">
        <v>131</v>
      </c>
      <c r="E51" s="66"/>
      <c r="F51" s="62" t="s">
        <v>223</v>
      </c>
      <c r="G51" s="63"/>
      <c r="H51" s="49"/>
      <c r="I51" s="65"/>
      <c r="J51" s="66"/>
    </row>
    <row r="52" spans="1:10" ht="21">
      <c r="A52" s="76" t="s">
        <v>135</v>
      </c>
      <c r="B52" s="80"/>
      <c r="C52" s="81">
        <f>Table2!R15</f>
        <v>187</v>
      </c>
      <c r="D52" s="75" t="s">
        <v>133</v>
      </c>
      <c r="E52" s="66"/>
      <c r="F52" s="66" t="s">
        <v>224</v>
      </c>
      <c r="G52" s="66"/>
      <c r="H52" s="66"/>
      <c r="I52" s="66"/>
      <c r="J52" s="66"/>
    </row>
    <row r="53" spans="1:9" ht="23.25">
      <c r="A53" s="76" t="s">
        <v>207</v>
      </c>
      <c r="B53" s="66"/>
      <c r="C53" s="81">
        <f>Table2!R16</f>
        <v>14.8</v>
      </c>
      <c r="D53" s="75" t="s">
        <v>133</v>
      </c>
      <c r="G53" s="89" t="s">
        <v>191</v>
      </c>
      <c r="H53" s="78"/>
      <c r="I53" s="66"/>
    </row>
    <row r="54" spans="1:9" ht="21">
      <c r="A54" s="128"/>
      <c r="B54" s="66"/>
      <c r="G54" s="72" t="s">
        <v>200</v>
      </c>
      <c r="H54" s="78">
        <f>H42*100/C51</f>
        <v>2144.6040000000003</v>
      </c>
      <c r="I54" s="66" t="s">
        <v>1</v>
      </c>
    </row>
    <row r="55" spans="1:10" ht="21">
      <c r="A55" s="131" t="s">
        <v>143</v>
      </c>
      <c r="B55" s="131"/>
      <c r="C55" s="131"/>
      <c r="D55" s="131"/>
      <c r="E55" s="66"/>
      <c r="F55" s="66"/>
      <c r="G55" s="72" t="s">
        <v>168</v>
      </c>
      <c r="H55" s="78">
        <f>(H41)*100/H49</f>
        <v>229.50131633315684</v>
      </c>
      <c r="I55" s="66" t="s">
        <v>1</v>
      </c>
      <c r="J55" s="66"/>
    </row>
    <row r="56" spans="1:10" ht="21">
      <c r="A56" s="76" t="s">
        <v>134</v>
      </c>
      <c r="B56" s="76"/>
      <c r="C56" s="77">
        <v>4</v>
      </c>
      <c r="D56" s="95" t="s">
        <v>3</v>
      </c>
      <c r="E56" s="66"/>
      <c r="F56" s="66"/>
      <c r="G56" s="72" t="s">
        <v>169</v>
      </c>
      <c r="H56" s="78">
        <f>H55/H35</f>
        <v>22.63618589336809</v>
      </c>
      <c r="I56" s="66" t="s">
        <v>1</v>
      </c>
      <c r="J56" s="66" t="str">
        <f>IF(H56&lt;0.45*H32,"  OK. &lt; 0.45fc'  ","NOT OK.")</f>
        <v>  OK. &lt; 0.45fc'  </v>
      </c>
    </row>
    <row r="57" spans="1:10" ht="21">
      <c r="A57" s="76" t="s">
        <v>217</v>
      </c>
      <c r="B57" s="76"/>
      <c r="C57" s="77"/>
      <c r="D57" s="95"/>
      <c r="E57" s="66"/>
      <c r="F57" s="66"/>
      <c r="G57" s="72" t="s">
        <v>170</v>
      </c>
      <c r="H57" s="78">
        <f>H54+(H41*100)/H50</f>
        <v>2590.8217655667804</v>
      </c>
      <c r="I57" s="66" t="s">
        <v>1</v>
      </c>
      <c r="J57" s="66"/>
    </row>
    <row r="58" spans="1:10" ht="21">
      <c r="A58" s="76"/>
      <c r="B58" s="96"/>
      <c r="C58" s="77"/>
      <c r="D58" s="95"/>
      <c r="E58" s="66" t="s">
        <v>171</v>
      </c>
      <c r="F58" s="66"/>
      <c r="G58" s="66"/>
      <c r="H58" s="66"/>
      <c r="I58" s="66"/>
      <c r="J58" s="66"/>
    </row>
    <row r="59" spans="1:10" ht="21">
      <c r="A59" s="66"/>
      <c r="B59" s="66"/>
      <c r="C59" s="66"/>
      <c r="D59" s="66"/>
      <c r="E59" s="66"/>
      <c r="F59" s="66"/>
      <c r="G59" s="66" t="s">
        <v>172</v>
      </c>
      <c r="H59" s="82">
        <f>(H42+H41)*100/(H35*H49)</f>
        <v>56.06983245787276</v>
      </c>
      <c r="I59" s="66" t="s">
        <v>1</v>
      </c>
      <c r="J59" s="66" t="str">
        <f>IF(H56&lt;0.45*H32,"  OK. &lt; 0.45fc'  ","NOT OK.")</f>
        <v>  OK. &lt; 0.45fc'  </v>
      </c>
    </row>
    <row r="60" spans="1:10" ht="21">
      <c r="A60" s="66"/>
      <c r="B60" s="66"/>
      <c r="C60" s="66"/>
      <c r="D60" s="66"/>
      <c r="E60" s="66"/>
      <c r="F60" s="66"/>
      <c r="G60" s="66" t="s">
        <v>173</v>
      </c>
      <c r="H60" s="82">
        <f>(H42+H41)*100/(H50)</f>
        <v>1105.2814053089146</v>
      </c>
      <c r="I60" s="66" t="s">
        <v>1</v>
      </c>
      <c r="J60" s="66" t="str">
        <f>IF(H60&lt;0.6*2400,"  OK. &lt;0.6Fy"," NOT OK.")</f>
        <v>  OK. &lt;0.6Fy</v>
      </c>
    </row>
    <row r="61" spans="1:10" ht="23.25">
      <c r="A61" s="87" t="s">
        <v>192</v>
      </c>
      <c r="B61" s="66"/>
      <c r="C61" s="66"/>
      <c r="D61" s="66"/>
      <c r="E61" s="66"/>
      <c r="F61" s="66" t="s">
        <v>225</v>
      </c>
      <c r="I61" s="66"/>
      <c r="J61" s="66"/>
    </row>
    <row r="62" spans="1:11" ht="21">
      <c r="A62" s="66"/>
      <c r="B62" s="66"/>
      <c r="C62" s="66"/>
      <c r="D62" s="72" t="s">
        <v>175</v>
      </c>
      <c r="E62" s="66">
        <f>0.85*H32*(D38*100*H37*100)/2</f>
        <v>40906.25000000001</v>
      </c>
      <c r="F62" s="66" t="s">
        <v>2</v>
      </c>
      <c r="H62" s="72"/>
      <c r="I62" s="72" t="s">
        <v>211</v>
      </c>
      <c r="J62" s="66">
        <f>6*1.6</f>
        <v>9.600000000000001</v>
      </c>
      <c r="K62" s="62" t="s">
        <v>11</v>
      </c>
    </row>
    <row r="63" spans="1:11" ht="21">
      <c r="A63" s="66"/>
      <c r="B63" s="66"/>
      <c r="C63" s="66"/>
      <c r="D63" s="72" t="s">
        <v>176</v>
      </c>
      <c r="E63" s="66">
        <f>C49*2400/2</f>
        <v>14220</v>
      </c>
      <c r="F63" s="66" t="s">
        <v>2</v>
      </c>
      <c r="G63" s="66"/>
      <c r="H63" s="66"/>
      <c r="I63" s="66" t="s">
        <v>212</v>
      </c>
      <c r="J63" s="66">
        <f>8*H37*100</f>
        <v>80</v>
      </c>
      <c r="K63" s="62" t="s">
        <v>11</v>
      </c>
    </row>
    <row r="64" spans="1:10" ht="21">
      <c r="A64" s="105">
        <v>12</v>
      </c>
      <c r="B64" s="66"/>
      <c r="D64" s="72" t="s">
        <v>226</v>
      </c>
      <c r="E64" s="66">
        <f>0.5*3.1416/4*A64^2/100*(H32*H34)^0.5</f>
        <v>3355.57180732996</v>
      </c>
      <c r="F64" s="66" t="s">
        <v>209</v>
      </c>
      <c r="G64" s="66">
        <v>1.5</v>
      </c>
      <c r="H64" s="66"/>
      <c r="I64" s="66"/>
      <c r="J64" s="66"/>
    </row>
    <row r="65" spans="1:10" ht="21">
      <c r="A65" s="66"/>
      <c r="B65" s="66"/>
      <c r="C65" s="66"/>
      <c r="D65" s="72" t="s">
        <v>210</v>
      </c>
      <c r="E65" s="66">
        <f>E64/G64</f>
        <v>2237.047871553307</v>
      </c>
      <c r="F65" s="66" t="s">
        <v>2</v>
      </c>
      <c r="G65" s="66"/>
      <c r="H65" s="66"/>
      <c r="I65" s="66"/>
      <c r="J65" s="66"/>
    </row>
    <row r="66" spans="1:10" ht="21">
      <c r="A66" s="66"/>
      <c r="B66" s="66"/>
      <c r="D66" s="66" t="s">
        <v>213</v>
      </c>
      <c r="E66" s="66">
        <f>MIN(E62:E63)</f>
        <v>14220</v>
      </c>
      <c r="F66" s="66" t="s">
        <v>214</v>
      </c>
      <c r="G66" s="66"/>
      <c r="H66" s="73">
        <f>E66/E65</f>
        <v>6.356591730031357</v>
      </c>
      <c r="I66" s="66" t="s">
        <v>215</v>
      </c>
      <c r="J66" s="66"/>
    </row>
    <row r="67" spans="1:10" ht="21">
      <c r="A67" s="66"/>
      <c r="B67" s="66"/>
      <c r="D67" s="66"/>
      <c r="E67" s="66"/>
      <c r="F67" s="66"/>
      <c r="G67" s="72" t="s">
        <v>216</v>
      </c>
      <c r="H67" s="73">
        <f>H36*100/2/H66</f>
        <v>17.304871017641617</v>
      </c>
      <c r="I67" s="66" t="s">
        <v>11</v>
      </c>
      <c r="J67" s="66" t="str">
        <f>IF(AND(H67&lt;J63,H67&gt;J62),"OK.","NOT OK.")</f>
        <v>OK.</v>
      </c>
    </row>
    <row r="68" spans="1:10" ht="21">
      <c r="A68" s="66"/>
      <c r="B68" s="66"/>
      <c r="D68" s="66"/>
      <c r="E68" s="66"/>
      <c r="F68" s="66"/>
      <c r="G68" s="72" t="s">
        <v>222</v>
      </c>
      <c r="H68" s="101">
        <f>H67*2</f>
        <v>34.60974203528323</v>
      </c>
      <c r="I68" s="66" t="s">
        <v>11</v>
      </c>
      <c r="J68" s="66"/>
    </row>
    <row r="69" spans="1:10" ht="23.25">
      <c r="A69" s="66"/>
      <c r="B69" s="66"/>
      <c r="C69" s="87" t="s">
        <v>193</v>
      </c>
      <c r="D69" s="66"/>
      <c r="E69" s="66"/>
      <c r="F69" s="66"/>
      <c r="G69" s="66"/>
      <c r="H69" s="66"/>
      <c r="I69" s="66"/>
      <c r="J69" s="66"/>
    </row>
    <row r="70" spans="1:10" ht="21">
      <c r="A70" s="66"/>
      <c r="B70" s="66"/>
      <c r="C70" s="66"/>
      <c r="D70" s="72" t="s">
        <v>177</v>
      </c>
      <c r="E70" s="66">
        <f>composite!H25</f>
        <v>1348.7265000000002</v>
      </c>
      <c r="F70" s="66" t="s">
        <v>2</v>
      </c>
      <c r="G70" s="66"/>
      <c r="H70" s="66"/>
      <c r="I70" s="66"/>
      <c r="J70" s="66"/>
    </row>
    <row r="71" spans="1:10" ht="21">
      <c r="A71" s="66"/>
      <c r="B71" s="66"/>
      <c r="C71" s="66"/>
      <c r="D71" s="72" t="s">
        <v>178</v>
      </c>
      <c r="E71" s="66">
        <f>E70/(C45/10*C47/10)</f>
        <v>269.74530000000004</v>
      </c>
      <c r="F71" s="66" t="s">
        <v>1</v>
      </c>
      <c r="H71" s="66" t="str">
        <f>IF(E71&lt;0.4*2400," OK. &lt;0.4Fy"," NOT OK.")</f>
        <v> OK. &lt;0.4Fy</v>
      </c>
      <c r="I71" s="66"/>
      <c r="J71" s="66"/>
    </row>
    <row r="72" spans="1:10" ht="21">
      <c r="A72" s="66"/>
      <c r="B72" s="66"/>
      <c r="C72" s="66"/>
      <c r="D72" s="72" t="s">
        <v>205</v>
      </c>
      <c r="E72" s="66">
        <f>E71*2</f>
        <v>539.4906000000001</v>
      </c>
      <c r="F72" s="66" t="s">
        <v>206</v>
      </c>
      <c r="H72" s="66" t="str">
        <f>IF(E72&lt;0.4*2400," OK. &lt;0.4Fy"," NOT OK.")</f>
        <v> OK. &lt;0.4Fy</v>
      </c>
      <c r="I72" s="66"/>
      <c r="J72" s="66"/>
    </row>
    <row r="73" spans="1:10" ht="23.25">
      <c r="A73" s="66"/>
      <c r="B73" s="66"/>
      <c r="C73" s="87" t="s">
        <v>227</v>
      </c>
      <c r="D73" s="72"/>
      <c r="E73" s="66"/>
      <c r="F73" s="66"/>
      <c r="H73" s="66"/>
      <c r="I73" s="66"/>
      <c r="J73" s="66"/>
    </row>
    <row r="74" spans="1:10" ht="21">
      <c r="A74" s="66"/>
      <c r="B74" s="66"/>
      <c r="C74" s="66" t="s">
        <v>231</v>
      </c>
      <c r="D74" s="72"/>
      <c r="E74" s="66"/>
      <c r="F74" s="66"/>
      <c r="H74" s="66"/>
      <c r="I74" s="66"/>
      <c r="J74" s="66"/>
    </row>
    <row r="75" spans="1:10" ht="21">
      <c r="A75" s="66"/>
      <c r="B75" s="66"/>
      <c r="C75" s="72" t="s">
        <v>232</v>
      </c>
      <c r="D75" s="106">
        <v>12</v>
      </c>
      <c r="E75" s="66"/>
      <c r="F75" s="66"/>
      <c r="H75" s="66"/>
      <c r="I75" s="66"/>
      <c r="J75" s="66"/>
    </row>
    <row r="76" spans="1:10" ht="21">
      <c r="A76" s="66"/>
      <c r="B76" s="66"/>
      <c r="C76" s="72" t="s">
        <v>233</v>
      </c>
      <c r="D76" s="107">
        <f>ROUNDUP(E70/(3.1416/4*D75^2/100*2400)*3,0)</f>
        <v>2</v>
      </c>
      <c r="E76" s="66"/>
      <c r="F76" s="66"/>
      <c r="H76" s="66"/>
      <c r="I76" s="66"/>
      <c r="J76" s="66"/>
    </row>
    <row r="77" spans="1:10" ht="23.25">
      <c r="A77" s="66"/>
      <c r="B77" s="66"/>
      <c r="C77" s="112" t="s">
        <v>237</v>
      </c>
      <c r="D77" s="113"/>
      <c r="E77" s="113"/>
      <c r="F77" s="113"/>
      <c r="G77" s="113"/>
      <c r="H77" s="113"/>
      <c r="I77" s="66"/>
      <c r="J77" s="66"/>
    </row>
    <row r="78" spans="1:10" ht="24">
      <c r="A78" s="66"/>
      <c r="B78" s="66"/>
      <c r="C78" s="113"/>
      <c r="D78" s="113"/>
      <c r="E78" s="114" t="s">
        <v>238</v>
      </c>
      <c r="F78" s="115">
        <f>5/384*((composite!D19+composite!D20)*D38/100*(composite!H36*100)^4)/composite!H33/composite!C52</f>
        <v>0.28553925473375646</v>
      </c>
      <c r="G78" s="113" t="s">
        <v>11</v>
      </c>
      <c r="H78" s="113" t="str">
        <f>IF(F78&lt;H36*100/180," OK. &lt;L/180"," NOT OK")</f>
        <v> OK. &lt;L/180</v>
      </c>
      <c r="I78" s="66"/>
      <c r="J78" s="66"/>
    </row>
    <row r="79" spans="1:10" ht="24">
      <c r="A79" s="66"/>
      <c r="B79" s="66"/>
      <c r="C79" s="113"/>
      <c r="D79" s="113"/>
      <c r="E79" s="114" t="s">
        <v>239</v>
      </c>
      <c r="F79" s="115">
        <f>5/384*((composite!D21)*D38/100*(composite!H36*100)^4)/composite!H34/H48/H35</f>
        <v>0.03791818928322166</v>
      </c>
      <c r="G79" s="113" t="s">
        <v>11</v>
      </c>
      <c r="H79" s="113" t="str">
        <f>IF(F79&lt;H36*100/300," OK. &lt;L/300"," NOT OK")</f>
        <v> OK. &lt;L/300</v>
      </c>
      <c r="I79" s="66"/>
      <c r="J79" s="66"/>
    </row>
    <row r="80" spans="1:10" ht="24">
      <c r="A80" s="66"/>
      <c r="B80" s="66"/>
      <c r="C80" s="113"/>
      <c r="D80" s="113"/>
      <c r="E80" s="114" t="s">
        <v>240</v>
      </c>
      <c r="F80" s="115">
        <f>5/384*((composite!D21)*D38/100*(composite!H36*100)^4)/H33/H48</f>
        <v>0.037918189283221666</v>
      </c>
      <c r="G80" s="113" t="s">
        <v>11</v>
      </c>
      <c r="H80" s="113" t="str">
        <f>IF(F80&lt;$H$36*100/300," OK. &lt;L/300"," NOT OK")</f>
        <v> OK. &lt;L/300</v>
      </c>
      <c r="I80" s="103">
        <f>$H$36*100/300</f>
        <v>0.7333333333333334</v>
      </c>
      <c r="J80" s="66"/>
    </row>
    <row r="81" spans="1:10" ht="24">
      <c r="A81" s="66"/>
      <c r="B81" s="66"/>
      <c r="C81" s="113"/>
      <c r="D81" s="113"/>
      <c r="E81" s="114" t="s">
        <v>241</v>
      </c>
      <c r="F81" s="115">
        <f>5/384*((composite!D18)*D38/100*(composite!H36*100)^4)/H33/H48</f>
        <v>0.015308110328309105</v>
      </c>
      <c r="G81" s="113" t="s">
        <v>11</v>
      </c>
      <c r="H81" s="113" t="str">
        <f>IF(F81&lt;$H$36*100/500," OK. &lt;L/500"," NOT OK")</f>
        <v> OK. &lt;L/500</v>
      </c>
      <c r="I81" s="103"/>
      <c r="J81" s="66"/>
    </row>
    <row r="82" spans="1:10" ht="21">
      <c r="A82" s="66"/>
      <c r="B82" s="66"/>
      <c r="C82" s="113"/>
      <c r="D82" s="113"/>
      <c r="E82" s="114" t="s">
        <v>208</v>
      </c>
      <c r="F82" s="116">
        <f>50*(C45+H37*1000)/1000</f>
        <v>10</v>
      </c>
      <c r="G82" s="113" t="s">
        <v>2</v>
      </c>
      <c r="H82" s="113"/>
      <c r="I82" s="103">
        <f>F82*H36/2</f>
        <v>11</v>
      </c>
      <c r="J82" s="66"/>
    </row>
    <row r="83" spans="1:10" ht="24">
      <c r="A83" s="66"/>
      <c r="B83" s="66"/>
      <c r="C83" s="113"/>
      <c r="D83" s="113"/>
      <c r="E83" s="114" t="s">
        <v>242</v>
      </c>
      <c r="F83" s="117">
        <f>5/384*F82/100*(H36*100)^4/H33/C53/composite!D27</f>
        <v>0.1010270380674793</v>
      </c>
      <c r="G83" s="113" t="s">
        <v>11</v>
      </c>
      <c r="H83" s="113" t="str">
        <f>IF(F83&lt;H36*100/500," OK. &lt;L/500"," NOT OK")</f>
        <v> OK. &lt;L/500</v>
      </c>
      <c r="I83" s="103">
        <f>H36*100/500</f>
        <v>0.44000000000000006</v>
      </c>
      <c r="J83" s="66"/>
    </row>
    <row r="84" spans="1:10" ht="24">
      <c r="A84" s="66"/>
      <c r="B84" s="66"/>
      <c r="C84" s="113"/>
      <c r="D84" s="113"/>
      <c r="E84" s="114" t="s">
        <v>243</v>
      </c>
      <c r="F84" s="117">
        <f>1/0.178/(F79)^0.5</f>
        <v>28.850689886429702</v>
      </c>
      <c r="G84" s="113" t="s">
        <v>179</v>
      </c>
      <c r="H84" s="113"/>
      <c r="I84" s="66"/>
      <c r="J84" s="66"/>
    </row>
    <row r="85" spans="1:9" ht="24">
      <c r="A85" s="121"/>
      <c r="B85" s="121"/>
      <c r="C85" s="122"/>
      <c r="D85" s="122"/>
      <c r="E85" s="123" t="s">
        <v>244</v>
      </c>
      <c r="F85" s="117">
        <f>0.18*(386/(F79/2.54))^0.5</f>
        <v>28.944044728802222</v>
      </c>
      <c r="G85" s="113" t="s">
        <v>179</v>
      </c>
      <c r="H85" s="113" t="str">
        <f>IF(F85&gt;=F86,"  OK. &gt; fo"," NOT OK.&lt;fo")</f>
        <v>  OK. &gt; fo</v>
      </c>
      <c r="I85" s="94"/>
    </row>
    <row r="86" spans="1:9" ht="23.25">
      <c r="A86" s="121"/>
      <c r="B86" s="121"/>
      <c r="C86" s="122"/>
      <c r="D86" s="122"/>
      <c r="E86" s="123" t="s">
        <v>245</v>
      </c>
      <c r="F86" s="117">
        <f>2.86*LN((180/(composite!D21*2.5*H36/2/454.6)))</f>
        <v>10.553237624834903</v>
      </c>
      <c r="G86" s="113" t="s">
        <v>179</v>
      </c>
      <c r="H86" s="113"/>
      <c r="I86" s="94"/>
    </row>
    <row r="87" spans="1:9" ht="23.25">
      <c r="A87" s="121"/>
      <c r="B87" s="121"/>
      <c r="C87" s="124"/>
      <c r="D87" s="125" t="s">
        <v>202</v>
      </c>
      <c r="E87" s="125" t="s">
        <v>203</v>
      </c>
      <c r="F87" s="113"/>
      <c r="G87" s="113"/>
      <c r="H87" s="113"/>
      <c r="I87" s="94"/>
    </row>
    <row r="88" spans="1:9" ht="23.25">
      <c r="A88" s="121"/>
      <c r="B88" s="121"/>
      <c r="C88" s="123" t="s">
        <v>204</v>
      </c>
      <c r="D88" s="126">
        <f>5/384*((composite!D21-composite!D18*0.5)*D38/100*(composite!H36*100)^4)/composite!H34/H48/H35</f>
        <v>0.030264134119067105</v>
      </c>
      <c r="E88" s="115">
        <f>5/384*((composite!D21)*D38/100*(composite!H36*100)^4)/composite!H34/H48/H35</f>
        <v>0.03791818928322166</v>
      </c>
      <c r="F88" s="113" t="s">
        <v>11</v>
      </c>
      <c r="G88" s="113"/>
      <c r="H88" s="113"/>
      <c r="I88" s="94"/>
    </row>
    <row r="89" spans="1:9" ht="24">
      <c r="A89" s="121"/>
      <c r="B89" s="121"/>
      <c r="C89" s="123" t="s">
        <v>246</v>
      </c>
      <c r="D89" s="117">
        <f>0.18*(386/(D88/2.54))^0.5</f>
        <v>32.39805134017279</v>
      </c>
      <c r="E89" s="117">
        <f>0.18*(386/(E88/2.54))^0.5</f>
        <v>28.944044728802222</v>
      </c>
      <c r="F89" s="113" t="s">
        <v>179</v>
      </c>
      <c r="G89" s="113"/>
      <c r="H89" s="113"/>
      <c r="I89" s="94"/>
    </row>
    <row r="90" spans="1:9" ht="23.25">
      <c r="A90" s="121"/>
      <c r="B90" s="121"/>
      <c r="C90" s="123" t="s">
        <v>245</v>
      </c>
      <c r="D90" s="127">
        <f>2.86*LN(((180/(((composite!D21-(composite!D18*0.5)))*2.5*H36/2/454.6))))</f>
        <v>11.198074978906508</v>
      </c>
      <c r="E90" s="127">
        <f>2.86*LN((180/(composite!D21*2.5*H36/2/454.6)))</f>
        <v>10.553237624834903</v>
      </c>
      <c r="F90" s="113" t="s">
        <v>179</v>
      </c>
      <c r="G90" s="113"/>
      <c r="H90" s="113"/>
      <c r="I90" s="94"/>
    </row>
    <row r="91" spans="1:9" ht="24">
      <c r="A91" s="118"/>
      <c r="B91" s="118"/>
      <c r="C91" s="119"/>
      <c r="D91" s="120" t="str">
        <f>IF(D89&gt;D90,"OK.","NOT OK.")</f>
        <v>OK.</v>
      </c>
      <c r="E91" s="120" t="str">
        <f>IF(E89&gt;E90,"OK.","NOT OK.")</f>
        <v>OK.</v>
      </c>
      <c r="F91" s="113"/>
      <c r="G91" s="113"/>
      <c r="H91" s="113"/>
      <c r="I91" s="94"/>
    </row>
  </sheetData>
  <sheetProtection/>
  <mergeCells count="1">
    <mergeCell ref="A55:D55"/>
  </mergeCells>
  <printOptions/>
  <pageMargins left="0.75" right="0.18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4"/>
  <sheetViews>
    <sheetView showGridLines="0" showRowColHeaders="0" showOutlineSymbols="0" zoomScalePageLayoutView="0" workbookViewId="0" topLeftCell="AM37">
      <selection activeCell="L6" sqref="L6"/>
    </sheetView>
  </sheetViews>
  <sheetFormatPr defaultColWidth="9.140625" defaultRowHeight="23.25"/>
  <cols>
    <col min="37" max="40" width="9.28125" style="0" bestFit="1" customWidth="1"/>
    <col min="41" max="41" width="9.57421875" style="0" bestFit="1" customWidth="1"/>
    <col min="42" max="46" width="9.28125" style="0" bestFit="1" customWidth="1"/>
  </cols>
  <sheetData>
    <row r="1" spans="1:44" ht="22.5">
      <c r="A1" s="135" t="s">
        <v>236</v>
      </c>
      <c r="B1" s="136"/>
      <c r="C1" s="136"/>
      <c r="D1" s="136"/>
      <c r="E1" s="136"/>
      <c r="F1" s="136"/>
      <c r="G1" s="136"/>
      <c r="H1" s="137"/>
      <c r="I1" s="1"/>
      <c r="J1" s="2"/>
      <c r="T1" s="135" t="s">
        <v>13</v>
      </c>
      <c r="U1" s="136"/>
      <c r="V1" s="136"/>
      <c r="W1" s="136"/>
      <c r="X1" s="136"/>
      <c r="Y1" s="136"/>
      <c r="Z1" s="136"/>
      <c r="AA1" s="136"/>
      <c r="AB1" s="136"/>
      <c r="AC1" s="136"/>
      <c r="AD1" s="137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1:43" ht="22.5">
      <c r="A2" s="132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5"/>
      <c r="J2" s="5"/>
      <c r="S2" s="132" t="s">
        <v>14</v>
      </c>
      <c r="T2" s="4" t="s">
        <v>22</v>
      </c>
      <c r="U2" s="6" t="s">
        <v>4</v>
      </c>
      <c r="V2" s="4" t="s">
        <v>6</v>
      </c>
      <c r="W2" s="4" t="s">
        <v>5</v>
      </c>
      <c r="X2" s="4" t="s">
        <v>16</v>
      </c>
      <c r="Y2" s="4" t="s">
        <v>17</v>
      </c>
      <c r="Z2" s="4" t="s">
        <v>18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8</v>
      </c>
      <c r="AF2" s="4" t="s">
        <v>10</v>
      </c>
      <c r="AI2" s="7"/>
      <c r="AJ2" s="7"/>
      <c r="AK2" s="5"/>
      <c r="AL2" s="5"/>
      <c r="AM2" s="5"/>
      <c r="AN2" s="5"/>
      <c r="AO2" s="5"/>
      <c r="AP2" s="5"/>
      <c r="AQ2" s="5"/>
    </row>
    <row r="3" spans="1:43" ht="25.5">
      <c r="A3" s="133"/>
      <c r="B3" s="4" t="s">
        <v>27</v>
      </c>
      <c r="C3" s="4" t="s">
        <v>27</v>
      </c>
      <c r="D3" s="4" t="s">
        <v>28</v>
      </c>
      <c r="E3" s="4" t="s">
        <v>124</v>
      </c>
      <c r="F3" s="4" t="s">
        <v>125</v>
      </c>
      <c r="G3" s="4" t="s">
        <v>126</v>
      </c>
      <c r="H3" s="4" t="s">
        <v>29</v>
      </c>
      <c r="I3" s="9"/>
      <c r="S3" s="133"/>
      <c r="T3" s="4" t="s">
        <v>27</v>
      </c>
      <c r="U3" s="8"/>
      <c r="V3" s="4" t="s">
        <v>27</v>
      </c>
      <c r="W3" s="4" t="s">
        <v>27</v>
      </c>
      <c r="X3" s="4" t="s">
        <v>27</v>
      </c>
      <c r="Y3" s="4" t="s">
        <v>28</v>
      </c>
      <c r="Z3" s="4" t="s">
        <v>124</v>
      </c>
      <c r="AA3" s="4" t="s">
        <v>125</v>
      </c>
      <c r="AB3" s="4" t="s">
        <v>125</v>
      </c>
      <c r="AC3" s="4" t="s">
        <v>126</v>
      </c>
      <c r="AD3" s="4" t="s">
        <v>126</v>
      </c>
      <c r="AE3" s="4" t="s">
        <v>29</v>
      </c>
      <c r="AF3" s="4" t="s">
        <v>29</v>
      </c>
      <c r="AG3" s="9" t="e">
        <f>#REF!</f>
        <v>#REF!</v>
      </c>
      <c r="AI3" s="7"/>
      <c r="AJ3" s="7"/>
      <c r="AK3" s="5"/>
      <c r="AL3" s="5"/>
      <c r="AM3" s="5"/>
      <c r="AN3" s="5"/>
      <c r="AO3" s="5"/>
      <c r="AP3" s="5"/>
      <c r="AQ3" s="5"/>
    </row>
    <row r="4" spans="1:44" ht="22.5">
      <c r="A4" s="10">
        <v>1</v>
      </c>
      <c r="B4" s="11">
        <v>21.7</v>
      </c>
      <c r="C4" s="11">
        <v>2</v>
      </c>
      <c r="D4" s="12">
        <v>0.972</v>
      </c>
      <c r="E4" s="12">
        <v>1.238</v>
      </c>
      <c r="F4" s="12">
        <v>0.607</v>
      </c>
      <c r="G4" s="12">
        <v>0.56</v>
      </c>
      <c r="H4" s="12">
        <v>0.7</v>
      </c>
      <c r="I4" s="9" t="e">
        <f>#REF!</f>
        <v>#REF!</v>
      </c>
      <c r="K4" s="13"/>
      <c r="L4" s="13"/>
      <c r="M4" s="13"/>
      <c r="N4" s="13"/>
      <c r="O4" s="13"/>
      <c r="P4" s="14"/>
      <c r="Q4" s="13"/>
      <c r="R4" s="14"/>
      <c r="S4" s="15">
        <v>1</v>
      </c>
      <c r="T4" s="15" t="s">
        <v>30</v>
      </c>
      <c r="U4" s="15">
        <v>60</v>
      </c>
      <c r="V4" s="15">
        <v>30</v>
      </c>
      <c r="W4" s="16">
        <v>10</v>
      </c>
      <c r="X4" s="16">
        <v>2.3</v>
      </c>
      <c r="Y4" s="16">
        <v>2.25</v>
      </c>
      <c r="Z4" s="16">
        <v>2.872</v>
      </c>
      <c r="AA4" s="16">
        <v>15.6</v>
      </c>
      <c r="AB4" s="16">
        <v>3.32</v>
      </c>
      <c r="AC4" s="16">
        <v>5.2</v>
      </c>
      <c r="AD4" s="16">
        <v>1.71</v>
      </c>
      <c r="AE4" s="16">
        <v>2.33</v>
      </c>
      <c r="AF4" s="16">
        <v>1.07</v>
      </c>
      <c r="AG4" s="17" t="s">
        <v>31</v>
      </c>
      <c r="AH4" s="13" t="e">
        <f>VLOOKUP($AG$3,$S$4:$AF$18,2)</f>
        <v>#REF!</v>
      </c>
      <c r="AI4" s="9" t="s">
        <v>4</v>
      </c>
      <c r="AJ4" s="13" t="e">
        <f>VLOOKUP($AG$3,$S$4:$AF$18,3)</f>
        <v>#REF!</v>
      </c>
      <c r="AM4" s="18"/>
      <c r="AN4" s="18"/>
      <c r="AO4" s="18"/>
      <c r="AP4" s="18"/>
      <c r="AQ4" s="18"/>
      <c r="AR4" s="9"/>
    </row>
    <row r="5" spans="1:46" ht="22.5">
      <c r="A5" s="19">
        <v>2</v>
      </c>
      <c r="B5" s="20">
        <v>27.2</v>
      </c>
      <c r="C5" s="20">
        <v>2</v>
      </c>
      <c r="D5" s="21">
        <v>1.24</v>
      </c>
      <c r="E5" s="21">
        <v>1.583</v>
      </c>
      <c r="F5" s="21">
        <v>1.28</v>
      </c>
      <c r="G5" s="21">
        <v>0.93</v>
      </c>
      <c r="H5" s="21">
        <v>0.89</v>
      </c>
      <c r="I5" s="17" t="s">
        <v>31</v>
      </c>
      <c r="J5" s="13" t="e">
        <f>VLOOKUP($I$4,$A$4:$H$40,2)</f>
        <v>#REF!</v>
      </c>
      <c r="K5" s="13"/>
      <c r="L5" s="13"/>
      <c r="M5" s="13"/>
      <c r="N5" s="13"/>
      <c r="O5" s="13"/>
      <c r="P5" s="14"/>
      <c r="Q5" s="13"/>
      <c r="R5" s="14"/>
      <c r="S5" s="22">
        <v>2</v>
      </c>
      <c r="T5" s="22" t="s">
        <v>32</v>
      </c>
      <c r="U5" s="22">
        <v>75</v>
      </c>
      <c r="V5" s="22">
        <v>45</v>
      </c>
      <c r="W5" s="23">
        <v>15</v>
      </c>
      <c r="X5" s="23">
        <v>2.3</v>
      </c>
      <c r="Y5" s="23">
        <v>3.25</v>
      </c>
      <c r="Z5" s="23">
        <v>4.137</v>
      </c>
      <c r="AA5" s="23">
        <v>37.1</v>
      </c>
      <c r="AB5" s="23">
        <v>11.8</v>
      </c>
      <c r="AC5" s="23">
        <v>9.9</v>
      </c>
      <c r="AD5" s="23">
        <v>4.24</v>
      </c>
      <c r="AE5" s="23">
        <v>3</v>
      </c>
      <c r="AF5" s="23">
        <v>1.69</v>
      </c>
      <c r="AG5" s="17" t="s">
        <v>33</v>
      </c>
      <c r="AH5" s="13" t="e">
        <f>VLOOKUP($AG$3,$S$4:$AF$18,6)</f>
        <v>#REF!</v>
      </c>
      <c r="AI5" s="17" t="s">
        <v>6</v>
      </c>
      <c r="AJ5" s="13" t="e">
        <f>VLOOKUP($AG$3,$S$4:$AF$18,4)</f>
        <v>#REF!</v>
      </c>
      <c r="AK5" s="13"/>
      <c r="AM5" s="18"/>
      <c r="AN5" s="18"/>
      <c r="AO5" s="18"/>
      <c r="AP5" s="18"/>
      <c r="AQ5" s="18"/>
      <c r="AR5" s="17"/>
      <c r="AT5" s="13"/>
    </row>
    <row r="6" spans="1:46" ht="22.5">
      <c r="A6" s="19">
        <v>3</v>
      </c>
      <c r="B6" s="20">
        <v>27.2</v>
      </c>
      <c r="C6" s="20">
        <v>2.3</v>
      </c>
      <c r="D6" s="21">
        <v>1.41</v>
      </c>
      <c r="E6" s="21">
        <v>1.799</v>
      </c>
      <c r="F6" s="21">
        <v>1.41</v>
      </c>
      <c r="G6" s="21">
        <v>1.03</v>
      </c>
      <c r="H6" s="21">
        <v>0.88</v>
      </c>
      <c r="I6" s="17" t="s">
        <v>33</v>
      </c>
      <c r="J6" s="13" t="e">
        <f>VLOOKUP($I$4,$A$4:$H$40,3)</f>
        <v>#REF!</v>
      </c>
      <c r="S6" s="22">
        <v>3</v>
      </c>
      <c r="T6" s="22" t="s">
        <v>34</v>
      </c>
      <c r="U6" s="22">
        <v>100</v>
      </c>
      <c r="V6" s="22">
        <v>50</v>
      </c>
      <c r="W6" s="23">
        <v>20</v>
      </c>
      <c r="X6" s="23">
        <v>2.3</v>
      </c>
      <c r="Y6" s="23">
        <v>4.06</v>
      </c>
      <c r="Z6" s="23">
        <v>5.172</v>
      </c>
      <c r="AA6" s="23">
        <v>80.7</v>
      </c>
      <c r="AB6" s="23">
        <v>19</v>
      </c>
      <c r="AC6" s="23">
        <v>16.1</v>
      </c>
      <c r="AD6" s="23">
        <v>6.06</v>
      </c>
      <c r="AE6" s="23">
        <v>3.95</v>
      </c>
      <c r="AF6" s="23">
        <v>1.92</v>
      </c>
      <c r="AG6" s="17" t="s">
        <v>35</v>
      </c>
      <c r="AH6" s="13" t="e">
        <f>VLOOKUP($AG$3,$S$4:$AF$18,6)</f>
        <v>#REF!</v>
      </c>
      <c r="AI6" s="17" t="s">
        <v>5</v>
      </c>
      <c r="AJ6" s="13" t="e">
        <f>VLOOKUP($AG$3,$S$4:$AF$18,5)</f>
        <v>#REF!</v>
      </c>
      <c r="AK6" s="13"/>
      <c r="AM6" s="18"/>
      <c r="AN6" s="18"/>
      <c r="AO6" s="18"/>
      <c r="AP6" s="18"/>
      <c r="AQ6" s="18"/>
      <c r="AR6" s="17"/>
      <c r="AT6" s="13"/>
    </row>
    <row r="7" spans="1:44" ht="22.5">
      <c r="A7" s="19">
        <v>4</v>
      </c>
      <c r="B7" s="20">
        <v>34</v>
      </c>
      <c r="C7" s="20">
        <v>2.3</v>
      </c>
      <c r="D7" s="21">
        <v>1.8</v>
      </c>
      <c r="E7" s="21">
        <v>2.291</v>
      </c>
      <c r="F7" s="21">
        <v>2.89</v>
      </c>
      <c r="G7" s="21">
        <v>1.7</v>
      </c>
      <c r="H7" s="21">
        <v>1.12</v>
      </c>
      <c r="I7" s="17" t="s">
        <v>35</v>
      </c>
      <c r="J7" s="13" t="e">
        <f>VLOOKUP($I$4,$A$4:$H$40,3)</f>
        <v>#REF!</v>
      </c>
      <c r="S7" s="22">
        <v>4</v>
      </c>
      <c r="T7" s="22" t="s">
        <v>34</v>
      </c>
      <c r="U7" s="22">
        <v>100</v>
      </c>
      <c r="V7" s="22">
        <v>50</v>
      </c>
      <c r="W7" s="23">
        <v>20</v>
      </c>
      <c r="X7" s="23">
        <v>3.2</v>
      </c>
      <c r="Y7" s="23">
        <v>5.5</v>
      </c>
      <c r="Z7" s="23">
        <v>7.007</v>
      </c>
      <c r="AA7" s="23">
        <v>107</v>
      </c>
      <c r="AB7" s="23">
        <v>24.5</v>
      </c>
      <c r="AC7" s="23">
        <v>21.3</v>
      </c>
      <c r="AD7" s="23">
        <v>7.81</v>
      </c>
      <c r="AE7" s="23">
        <v>3.9</v>
      </c>
      <c r="AF7" s="23">
        <v>1.87</v>
      </c>
      <c r="AG7" s="17" t="s">
        <v>36</v>
      </c>
      <c r="AH7" s="13" t="e">
        <f>VLOOKUP($AG$3,$S$4:$AF$18,8)</f>
        <v>#REF!</v>
      </c>
      <c r="AI7" s="17"/>
      <c r="AM7" s="18"/>
      <c r="AN7" s="18"/>
      <c r="AO7" s="18"/>
      <c r="AP7" s="18"/>
      <c r="AQ7" s="18"/>
      <c r="AR7" s="17"/>
    </row>
    <row r="8" spans="1:44" ht="22.5">
      <c r="A8" s="19">
        <v>5</v>
      </c>
      <c r="B8" s="20">
        <v>42.7</v>
      </c>
      <c r="C8" s="20">
        <v>2.3</v>
      </c>
      <c r="D8" s="21">
        <v>2.29</v>
      </c>
      <c r="E8" s="21">
        <v>2.919</v>
      </c>
      <c r="F8" s="21">
        <v>5.97</v>
      </c>
      <c r="G8" s="21">
        <v>2.8</v>
      </c>
      <c r="H8" s="21">
        <v>1.43</v>
      </c>
      <c r="I8" s="17" t="s">
        <v>36</v>
      </c>
      <c r="J8" s="13" t="e">
        <f>VLOOKUP($I$4,$A$4:$H$40,5)</f>
        <v>#REF!</v>
      </c>
      <c r="S8" s="22">
        <v>5</v>
      </c>
      <c r="T8" s="22" t="s">
        <v>37</v>
      </c>
      <c r="U8" s="22">
        <v>125</v>
      </c>
      <c r="V8" s="22">
        <v>50</v>
      </c>
      <c r="W8" s="23">
        <v>20</v>
      </c>
      <c r="X8" s="23">
        <v>2.3</v>
      </c>
      <c r="Y8" s="23">
        <v>4.51</v>
      </c>
      <c r="Z8" s="23">
        <v>5.747</v>
      </c>
      <c r="AA8" s="23">
        <v>137</v>
      </c>
      <c r="AB8" s="23">
        <v>20.6</v>
      </c>
      <c r="AC8" s="23">
        <v>21.9</v>
      </c>
      <c r="AD8" s="23">
        <v>6.22</v>
      </c>
      <c r="AE8" s="23">
        <v>4.88</v>
      </c>
      <c r="AF8" s="23">
        <v>1.89</v>
      </c>
      <c r="AG8" s="17" t="s">
        <v>38</v>
      </c>
      <c r="AH8" s="13" t="e">
        <f>VLOOKUP($AG$3,$S$4:$AF$18,7)</f>
        <v>#REF!</v>
      </c>
      <c r="AI8" s="17"/>
      <c r="AM8" s="18"/>
      <c r="AN8" s="18"/>
      <c r="AO8" s="18"/>
      <c r="AP8" s="18"/>
      <c r="AQ8" s="18"/>
      <c r="AR8" s="17"/>
    </row>
    <row r="9" spans="1:44" ht="22.5">
      <c r="A9" s="19">
        <v>6</v>
      </c>
      <c r="B9" s="20">
        <v>42.7</v>
      </c>
      <c r="C9" s="20">
        <v>2.8</v>
      </c>
      <c r="D9" s="21">
        <v>2.78</v>
      </c>
      <c r="E9" s="21">
        <v>3.51</v>
      </c>
      <c r="F9" s="21">
        <v>7.02</v>
      </c>
      <c r="G9" s="21">
        <v>3.29</v>
      </c>
      <c r="H9" s="21">
        <v>1.41</v>
      </c>
      <c r="I9" s="17" t="s">
        <v>38</v>
      </c>
      <c r="J9" s="13" t="e">
        <f>VLOOKUP($I$4,$A$4:$H$40,4)</f>
        <v>#REF!</v>
      </c>
      <c r="K9" s="24"/>
      <c r="L9" s="24"/>
      <c r="M9" s="24"/>
      <c r="N9" s="24"/>
      <c r="O9" s="24"/>
      <c r="P9" s="24"/>
      <c r="Q9" s="24"/>
      <c r="R9" s="24"/>
      <c r="S9" s="22">
        <v>6</v>
      </c>
      <c r="T9" s="22" t="s">
        <v>37</v>
      </c>
      <c r="U9" s="22">
        <v>125</v>
      </c>
      <c r="V9" s="22">
        <v>50</v>
      </c>
      <c r="W9" s="23">
        <v>20</v>
      </c>
      <c r="X9" s="23">
        <v>3.2</v>
      </c>
      <c r="Y9" s="23">
        <v>6.13</v>
      </c>
      <c r="Z9" s="23">
        <v>7.807</v>
      </c>
      <c r="AA9" s="23">
        <v>181</v>
      </c>
      <c r="AB9" s="23">
        <v>26.6</v>
      </c>
      <c r="AC9" s="23">
        <v>29</v>
      </c>
      <c r="AD9" s="23">
        <v>8.02</v>
      </c>
      <c r="AE9" s="23">
        <v>4.82</v>
      </c>
      <c r="AF9" s="23">
        <v>1.85</v>
      </c>
      <c r="AG9" s="17" t="s">
        <v>25</v>
      </c>
      <c r="AH9" s="13" t="e">
        <f>VLOOKUP($AG$3,$S$4:$AF$18,11)</f>
        <v>#REF!</v>
      </c>
      <c r="AI9" s="17"/>
      <c r="AM9" s="18"/>
      <c r="AN9" s="18"/>
      <c r="AO9" s="18"/>
      <c r="AP9" s="18"/>
      <c r="AQ9" s="18"/>
      <c r="AR9" s="17"/>
    </row>
    <row r="10" spans="1:45" ht="22.5">
      <c r="A10" s="19">
        <v>7</v>
      </c>
      <c r="B10" s="20">
        <v>48.6</v>
      </c>
      <c r="C10" s="20">
        <v>2.3</v>
      </c>
      <c r="D10" s="21">
        <v>2.63</v>
      </c>
      <c r="E10" s="21">
        <v>3.345</v>
      </c>
      <c r="F10" s="21">
        <v>8.99</v>
      </c>
      <c r="G10" s="21">
        <v>3.7</v>
      </c>
      <c r="H10" s="21">
        <v>1.64</v>
      </c>
      <c r="I10" s="17" t="s">
        <v>25</v>
      </c>
      <c r="J10" s="13" t="e">
        <f>VLOOKUP($I$4,$A$4:$H$40,7)</f>
        <v>#REF!</v>
      </c>
      <c r="S10" s="22">
        <v>7</v>
      </c>
      <c r="T10" s="22" t="s">
        <v>39</v>
      </c>
      <c r="U10" s="22">
        <v>150</v>
      </c>
      <c r="V10" s="22">
        <v>50</v>
      </c>
      <c r="W10" s="23">
        <v>20</v>
      </c>
      <c r="X10" s="23">
        <v>2.3</v>
      </c>
      <c r="Y10" s="23">
        <v>4.96</v>
      </c>
      <c r="Z10" s="23">
        <v>6.322</v>
      </c>
      <c r="AA10" s="23">
        <v>210</v>
      </c>
      <c r="AB10" s="23">
        <v>21.9</v>
      </c>
      <c r="AC10" s="23">
        <v>28</v>
      </c>
      <c r="AD10" s="23">
        <v>6.33</v>
      </c>
      <c r="AE10" s="23">
        <v>5.77</v>
      </c>
      <c r="AF10" s="23">
        <v>1.86</v>
      </c>
      <c r="AG10" s="17" t="s">
        <v>26</v>
      </c>
      <c r="AH10" s="13" t="e">
        <f>VLOOKUP($AG$3,$S$4:$AF$18,12)</f>
        <v>#REF!</v>
      </c>
      <c r="AI10" s="17"/>
      <c r="AJ10" s="24"/>
      <c r="AM10" s="18"/>
      <c r="AN10" s="18"/>
      <c r="AO10" s="18"/>
      <c r="AP10" s="18"/>
      <c r="AQ10" s="18"/>
      <c r="AR10" s="17"/>
      <c r="AS10" s="24"/>
    </row>
    <row r="11" spans="1:43" ht="22.5">
      <c r="A11" s="19">
        <v>8</v>
      </c>
      <c r="B11" s="20">
        <v>48.6</v>
      </c>
      <c r="C11" s="20">
        <v>2.8</v>
      </c>
      <c r="D11" s="21">
        <v>3.16</v>
      </c>
      <c r="E11" s="21">
        <v>4.029</v>
      </c>
      <c r="F11" s="21">
        <v>10.6</v>
      </c>
      <c r="G11" s="21">
        <v>4.36</v>
      </c>
      <c r="H11" s="21">
        <v>1.62</v>
      </c>
      <c r="I11" s="17" t="s">
        <v>26</v>
      </c>
      <c r="J11" s="13" t="e">
        <f>VLOOKUP($I$4,$A$4:$H$40,7)</f>
        <v>#REF!</v>
      </c>
      <c r="S11" s="22">
        <v>8</v>
      </c>
      <c r="T11" s="22" t="s">
        <v>39</v>
      </c>
      <c r="U11" s="22">
        <v>150</v>
      </c>
      <c r="V11" s="22">
        <v>50</v>
      </c>
      <c r="W11" s="23">
        <v>20</v>
      </c>
      <c r="X11" s="23">
        <v>3.2</v>
      </c>
      <c r="Y11" s="23">
        <v>6.76</v>
      </c>
      <c r="Z11" s="23">
        <v>8.607</v>
      </c>
      <c r="AA11" s="23">
        <v>280</v>
      </c>
      <c r="AB11" s="23">
        <v>28.3</v>
      </c>
      <c r="AC11" s="23">
        <v>37.4</v>
      </c>
      <c r="AD11" s="23">
        <v>8.19</v>
      </c>
      <c r="AE11" s="23">
        <v>5.71</v>
      </c>
      <c r="AF11" s="23">
        <v>1.81</v>
      </c>
      <c r="AG11" s="17" t="s">
        <v>23</v>
      </c>
      <c r="AH11" s="13" t="e">
        <f>VLOOKUP($AG$3,$S$4:$AF$18,9)</f>
        <v>#REF!</v>
      </c>
      <c r="AI11" s="9"/>
      <c r="AM11" s="18"/>
      <c r="AN11" s="18"/>
      <c r="AO11" s="18"/>
      <c r="AP11" s="18"/>
      <c r="AQ11" s="18"/>
    </row>
    <row r="12" spans="1:44" ht="22.5">
      <c r="A12" s="19">
        <v>9</v>
      </c>
      <c r="B12" s="20">
        <v>48.6</v>
      </c>
      <c r="C12" s="20">
        <v>3.2</v>
      </c>
      <c r="D12" s="21">
        <v>3.58</v>
      </c>
      <c r="E12" s="21">
        <v>4.564</v>
      </c>
      <c r="F12" s="21">
        <v>11.8</v>
      </c>
      <c r="G12" s="21">
        <v>4.86</v>
      </c>
      <c r="H12" s="21">
        <v>1.61</v>
      </c>
      <c r="I12" s="17" t="s">
        <v>23</v>
      </c>
      <c r="J12" s="13" t="e">
        <f>VLOOKUP($I$4,$A$4:$H$40,6)</f>
        <v>#REF!</v>
      </c>
      <c r="S12" s="22">
        <v>9</v>
      </c>
      <c r="T12" s="22" t="s">
        <v>40</v>
      </c>
      <c r="U12" s="22">
        <v>150</v>
      </c>
      <c r="V12" s="22">
        <v>65</v>
      </c>
      <c r="W12" s="23">
        <v>20</v>
      </c>
      <c r="X12" s="23">
        <v>2.3</v>
      </c>
      <c r="Y12" s="23">
        <v>5.5</v>
      </c>
      <c r="Z12" s="23">
        <v>7.012</v>
      </c>
      <c r="AA12" s="23">
        <v>248</v>
      </c>
      <c r="AB12" s="23">
        <v>41.1</v>
      </c>
      <c r="AC12" s="23">
        <v>33</v>
      </c>
      <c r="AD12" s="23">
        <v>9.37</v>
      </c>
      <c r="AE12" s="23">
        <v>5.94</v>
      </c>
      <c r="AF12" s="23">
        <v>2.42</v>
      </c>
      <c r="AG12" s="17" t="s">
        <v>24</v>
      </c>
      <c r="AH12" s="13" t="e">
        <f>VLOOKUP($AG$3,$S$4:$AF$18,10)</f>
        <v>#REF!</v>
      </c>
      <c r="AI12" s="17"/>
      <c r="AJ12" s="13"/>
      <c r="AM12" s="18"/>
      <c r="AN12" s="18"/>
      <c r="AO12" s="18"/>
      <c r="AP12" s="18"/>
      <c r="AQ12" s="18"/>
      <c r="AR12" s="9">
        <v>80</v>
      </c>
    </row>
    <row r="13" spans="1:45" ht="22.5">
      <c r="A13" s="19">
        <v>10</v>
      </c>
      <c r="B13" s="20">
        <v>60.5</v>
      </c>
      <c r="C13" s="20">
        <v>2.3</v>
      </c>
      <c r="D13" s="21">
        <v>3.3</v>
      </c>
      <c r="E13" s="21">
        <v>4.205</v>
      </c>
      <c r="F13" s="21">
        <v>17.8</v>
      </c>
      <c r="G13" s="21">
        <v>5.9</v>
      </c>
      <c r="H13" s="21">
        <v>2.06</v>
      </c>
      <c r="I13" s="17" t="s">
        <v>24</v>
      </c>
      <c r="J13" s="13" t="e">
        <f>VLOOKUP($I$4,$A$4:$H$40,6)</f>
        <v>#REF!</v>
      </c>
      <c r="S13" s="22">
        <v>10</v>
      </c>
      <c r="T13" s="22" t="s">
        <v>41</v>
      </c>
      <c r="U13" s="22">
        <v>150</v>
      </c>
      <c r="V13" s="22">
        <v>55</v>
      </c>
      <c r="W13" s="23">
        <v>20</v>
      </c>
      <c r="X13" s="23">
        <v>3.2</v>
      </c>
      <c r="Y13" s="23">
        <v>7.51</v>
      </c>
      <c r="Z13" s="23">
        <v>9.57</v>
      </c>
      <c r="AA13" s="23">
        <v>332</v>
      </c>
      <c r="AB13" s="23">
        <v>53.8</v>
      </c>
      <c r="AC13" s="23">
        <v>44.3</v>
      </c>
      <c r="AD13" s="23">
        <v>12.2</v>
      </c>
      <c r="AE13" s="23">
        <v>5.89</v>
      </c>
      <c r="AF13" s="23">
        <v>2.37</v>
      </c>
      <c r="AG13" s="17" t="s">
        <v>8</v>
      </c>
      <c r="AH13" s="13" t="e">
        <f>VLOOKUP($AG$3,$S$4:$AF$18,13)</f>
        <v>#REF!</v>
      </c>
      <c r="AI13" s="17"/>
      <c r="AJ13" s="13"/>
      <c r="AM13" s="18"/>
      <c r="AN13" s="18"/>
      <c r="AO13" s="18"/>
      <c r="AP13" s="18"/>
      <c r="AQ13" s="18"/>
      <c r="AR13" s="17" t="s">
        <v>31</v>
      </c>
      <c r="AS13" s="13" t="e">
        <f>VLOOKUP($AC$11,$AH$4:$AQ$29,2)</f>
        <v>#N/A</v>
      </c>
    </row>
    <row r="14" spans="1:45" ht="22.5">
      <c r="A14" s="19">
        <v>11</v>
      </c>
      <c r="B14" s="20">
        <v>60.5</v>
      </c>
      <c r="C14" s="20">
        <v>3.2</v>
      </c>
      <c r="D14" s="21">
        <v>4.52</v>
      </c>
      <c r="E14" s="21">
        <v>5.76</v>
      </c>
      <c r="F14" s="21">
        <v>23.7</v>
      </c>
      <c r="G14" s="21">
        <v>7.84</v>
      </c>
      <c r="H14" s="21">
        <v>2.03</v>
      </c>
      <c r="I14" s="17" t="s">
        <v>8</v>
      </c>
      <c r="J14" s="13" t="e">
        <f>VLOOKUP($I$4,$A$4:$H$40,8)</f>
        <v>#REF!</v>
      </c>
      <c r="S14" s="22">
        <v>11</v>
      </c>
      <c r="T14" s="22" t="s">
        <v>42</v>
      </c>
      <c r="U14" s="22">
        <v>150</v>
      </c>
      <c r="V14" s="22">
        <v>75</v>
      </c>
      <c r="W14" s="23">
        <v>20</v>
      </c>
      <c r="X14" s="23">
        <v>3.2</v>
      </c>
      <c r="Y14" s="23">
        <v>8.01</v>
      </c>
      <c r="Z14" s="23">
        <v>10.21</v>
      </c>
      <c r="AA14" s="23">
        <v>366</v>
      </c>
      <c r="AB14" s="23">
        <v>76.4</v>
      </c>
      <c r="AC14" s="23">
        <v>48.9</v>
      </c>
      <c r="AD14" s="23">
        <v>15.3</v>
      </c>
      <c r="AE14" s="23">
        <v>5.99</v>
      </c>
      <c r="AF14" s="23">
        <v>2.74</v>
      </c>
      <c r="AG14" s="17" t="s">
        <v>10</v>
      </c>
      <c r="AH14" s="13" t="e">
        <f>VLOOKUP($AG$3,$S$4:$AF$18,14)</f>
        <v>#REF!</v>
      </c>
      <c r="AI14" s="17"/>
      <c r="AJ14" s="13"/>
      <c r="AM14" s="18"/>
      <c r="AN14" s="18"/>
      <c r="AO14" s="18"/>
      <c r="AP14" s="18"/>
      <c r="AQ14" s="18"/>
      <c r="AR14" s="17" t="s">
        <v>33</v>
      </c>
      <c r="AS14" s="13" t="e">
        <f>VLOOKUP($AC$11,$AH$4:$AQ$29,3)</f>
        <v>#N/A</v>
      </c>
    </row>
    <row r="15" spans="1:45" ht="22.5">
      <c r="A15" s="19">
        <v>12</v>
      </c>
      <c r="B15" s="20">
        <v>60.5</v>
      </c>
      <c r="C15" s="20">
        <v>4</v>
      </c>
      <c r="D15" s="21">
        <v>5.57</v>
      </c>
      <c r="E15" s="21">
        <v>7.1</v>
      </c>
      <c r="F15" s="21">
        <v>28.5</v>
      </c>
      <c r="G15" s="21">
        <v>9.41</v>
      </c>
      <c r="H15" s="21">
        <v>2</v>
      </c>
      <c r="I15" s="17" t="s">
        <v>10</v>
      </c>
      <c r="J15" s="13" t="e">
        <f>VLOOKUP($I$4,$A$4:$H$40,8)</f>
        <v>#REF!</v>
      </c>
      <c r="S15" s="22">
        <v>12</v>
      </c>
      <c r="T15" s="22" t="s">
        <v>42</v>
      </c>
      <c r="U15" s="22">
        <v>150</v>
      </c>
      <c r="V15" s="22">
        <v>75</v>
      </c>
      <c r="W15" s="23">
        <v>20</v>
      </c>
      <c r="X15" s="23">
        <v>4</v>
      </c>
      <c r="Y15" s="23">
        <v>9.85</v>
      </c>
      <c r="Z15" s="23">
        <v>12.55</v>
      </c>
      <c r="AA15" s="23">
        <v>445</v>
      </c>
      <c r="AB15" s="23">
        <v>91</v>
      </c>
      <c r="AC15" s="23">
        <v>59.3</v>
      </c>
      <c r="AD15" s="23">
        <v>18.2</v>
      </c>
      <c r="AE15" s="23">
        <v>5.95</v>
      </c>
      <c r="AF15" s="23">
        <v>2.69</v>
      </c>
      <c r="AG15" s="17" t="s">
        <v>31</v>
      </c>
      <c r="AH15" s="24" t="e">
        <f>#REF!&amp;#REF!&amp;" - "&amp;AH4&amp;"*"&amp;AH5&amp;" mm.("&amp;"น้ำหนัก = "&amp;AH8&amp;" kg./m.)"</f>
        <v>#REF!</v>
      </c>
      <c r="AI15" s="17"/>
      <c r="AJ15" s="13"/>
      <c r="AM15" s="18"/>
      <c r="AN15" s="18"/>
      <c r="AO15" s="18"/>
      <c r="AP15" s="18"/>
      <c r="AQ15" s="18"/>
      <c r="AR15" s="17" t="s">
        <v>35</v>
      </c>
      <c r="AS15" s="13" t="e">
        <f>VLOOKUP($AC$11,$AH$4:$AQ$29,3)</f>
        <v>#N/A</v>
      </c>
    </row>
    <row r="16" spans="1:45" ht="22.5">
      <c r="A16" s="19">
        <v>13</v>
      </c>
      <c r="B16" s="20">
        <v>78.3</v>
      </c>
      <c r="C16" s="20">
        <v>2.8</v>
      </c>
      <c r="D16" s="21">
        <v>5.08</v>
      </c>
      <c r="E16" s="21">
        <v>6.465</v>
      </c>
      <c r="F16" s="21">
        <v>43.7</v>
      </c>
      <c r="G16" s="21">
        <v>11.5</v>
      </c>
      <c r="H16" s="21">
        <v>2.6</v>
      </c>
      <c r="I16" s="17" t="s">
        <v>31</v>
      </c>
      <c r="J16" s="24" t="e">
        <f>#REF!&amp;#REF!&amp;" - "&amp;J5&amp;"*"&amp;J6&amp;" mm.("&amp;"น้ำหนัก = "&amp;J9&amp;" kg./m.)"</f>
        <v>#REF!</v>
      </c>
      <c r="S16" s="22">
        <v>13</v>
      </c>
      <c r="T16" s="22" t="s">
        <v>43</v>
      </c>
      <c r="U16" s="22">
        <v>200</v>
      </c>
      <c r="V16" s="22">
        <v>75</v>
      </c>
      <c r="W16" s="23">
        <v>20</v>
      </c>
      <c r="X16" s="23">
        <v>3.2</v>
      </c>
      <c r="Y16" s="23">
        <v>9.52</v>
      </c>
      <c r="Z16" s="23">
        <v>12.13</v>
      </c>
      <c r="AA16" s="23">
        <v>716</v>
      </c>
      <c r="AB16" s="23">
        <v>84.1</v>
      </c>
      <c r="AC16" s="23">
        <v>71.6</v>
      </c>
      <c r="AD16" s="23">
        <v>15.8</v>
      </c>
      <c r="AE16" s="23">
        <v>7.79</v>
      </c>
      <c r="AF16" s="23">
        <v>2.67</v>
      </c>
      <c r="AG16" s="13"/>
      <c r="AH16" s="17"/>
      <c r="AI16" s="17"/>
      <c r="AJ16" s="13"/>
      <c r="AM16" s="18"/>
      <c r="AN16" s="18"/>
      <c r="AO16" s="18"/>
      <c r="AP16" s="18"/>
      <c r="AQ16" s="18"/>
      <c r="AR16" s="17" t="s">
        <v>36</v>
      </c>
      <c r="AS16" s="13" t="e">
        <f>VLOOKUP($AC$11,$AH$4:$AQ$29,5)</f>
        <v>#N/A</v>
      </c>
    </row>
    <row r="17" spans="1:45" ht="22.5">
      <c r="A17" s="19">
        <v>14</v>
      </c>
      <c r="B17" s="20">
        <v>78.3</v>
      </c>
      <c r="C17" s="20">
        <v>3.2</v>
      </c>
      <c r="D17" s="21">
        <v>5.77</v>
      </c>
      <c r="E17" s="21">
        <v>7.349</v>
      </c>
      <c r="F17" s="21">
        <v>49.2</v>
      </c>
      <c r="G17" s="21">
        <v>12.9</v>
      </c>
      <c r="H17" s="21">
        <v>2.59</v>
      </c>
      <c r="I17" s="17"/>
      <c r="J17" s="13"/>
      <c r="S17" s="22">
        <v>14</v>
      </c>
      <c r="T17" s="22" t="s">
        <v>43</v>
      </c>
      <c r="U17" s="22">
        <v>200</v>
      </c>
      <c r="V17" s="22">
        <v>75</v>
      </c>
      <c r="W17" s="23">
        <v>20</v>
      </c>
      <c r="X17" s="23">
        <v>4</v>
      </c>
      <c r="Y17" s="23">
        <v>11.7</v>
      </c>
      <c r="Z17" s="23">
        <v>14.95</v>
      </c>
      <c r="AA17" s="23">
        <v>871</v>
      </c>
      <c r="AB17" s="23">
        <v>100</v>
      </c>
      <c r="AC17" s="23">
        <v>87.1</v>
      </c>
      <c r="AD17" s="23">
        <v>18.9</v>
      </c>
      <c r="AE17" s="23">
        <v>7.74</v>
      </c>
      <c r="AF17" s="23">
        <v>2.62</v>
      </c>
      <c r="AG17" s="13"/>
      <c r="AH17" s="17"/>
      <c r="AI17" s="17"/>
      <c r="AJ17" s="13"/>
      <c r="AM17" s="18"/>
      <c r="AN17" s="18"/>
      <c r="AO17" s="18"/>
      <c r="AP17" s="18"/>
      <c r="AQ17" s="18"/>
      <c r="AR17" s="17" t="s">
        <v>38</v>
      </c>
      <c r="AS17" s="13" t="e">
        <f>VLOOKUP($AC$11,$AH$4:$AQ$29,4)</f>
        <v>#N/A</v>
      </c>
    </row>
    <row r="18" spans="1:45" ht="22.5">
      <c r="A18" s="19">
        <v>15</v>
      </c>
      <c r="B18" s="20">
        <v>78.3</v>
      </c>
      <c r="C18" s="20">
        <v>4</v>
      </c>
      <c r="D18" s="21">
        <v>7.13</v>
      </c>
      <c r="E18" s="21">
        <v>9.085</v>
      </c>
      <c r="F18" s="21">
        <v>59.5</v>
      </c>
      <c r="G18" s="21">
        <v>15.8</v>
      </c>
      <c r="H18" s="21">
        <v>2.56</v>
      </c>
      <c r="I18" s="17"/>
      <c r="J18" s="13"/>
      <c r="S18" s="25">
        <v>15</v>
      </c>
      <c r="T18" s="25" t="s">
        <v>44</v>
      </c>
      <c r="U18" s="25">
        <v>250</v>
      </c>
      <c r="V18" s="25">
        <v>75</v>
      </c>
      <c r="W18" s="26">
        <v>25</v>
      </c>
      <c r="X18" s="26">
        <v>4.5</v>
      </c>
      <c r="Y18" s="26">
        <v>14.9</v>
      </c>
      <c r="Z18" s="26">
        <v>18.92</v>
      </c>
      <c r="AA18" s="26">
        <v>1690</v>
      </c>
      <c r="AB18" s="26">
        <v>129</v>
      </c>
      <c r="AC18" s="26">
        <v>135</v>
      </c>
      <c r="AD18" s="26">
        <v>23.8</v>
      </c>
      <c r="AE18" s="26">
        <v>9.44</v>
      </c>
      <c r="AF18" s="26">
        <v>2.62</v>
      </c>
      <c r="AG18" s="13"/>
      <c r="AH18" s="17"/>
      <c r="AI18" s="17"/>
      <c r="AJ18" s="13"/>
      <c r="AM18" s="18"/>
      <c r="AN18" s="18"/>
      <c r="AO18" s="18"/>
      <c r="AP18" s="18"/>
      <c r="AQ18" s="18"/>
      <c r="AR18" s="17" t="s">
        <v>25</v>
      </c>
      <c r="AS18" s="13" t="e">
        <f>VLOOKUP($AC$11,$AH$4:$AQ$29,7)</f>
        <v>#N/A</v>
      </c>
    </row>
    <row r="19" spans="1:45" ht="22.5">
      <c r="A19" s="19">
        <v>16</v>
      </c>
      <c r="B19" s="20">
        <v>89.1</v>
      </c>
      <c r="C19" s="20">
        <v>2.8</v>
      </c>
      <c r="D19" s="21">
        <v>5.96</v>
      </c>
      <c r="E19" s="21">
        <v>7.591</v>
      </c>
      <c r="F19" s="21">
        <v>70.7</v>
      </c>
      <c r="G19" s="21">
        <v>15.9</v>
      </c>
      <c r="H19" s="21">
        <v>3.05</v>
      </c>
      <c r="I19" s="17"/>
      <c r="J19" s="13"/>
      <c r="AC19" s="17"/>
      <c r="AD19" s="13"/>
      <c r="AE19" s="17"/>
      <c r="AF19" s="13"/>
      <c r="AI19" s="17"/>
      <c r="AJ19" s="13"/>
      <c r="AM19" s="18"/>
      <c r="AN19" s="18"/>
      <c r="AO19" s="18"/>
      <c r="AP19" s="18"/>
      <c r="AQ19" s="18"/>
      <c r="AR19" s="17" t="s">
        <v>26</v>
      </c>
      <c r="AS19" s="13" t="e">
        <f>VLOOKUP($AC$11,$AH$4:$AQ$29,7)</f>
        <v>#N/A</v>
      </c>
    </row>
    <row r="20" spans="1:45" ht="22.5">
      <c r="A20" s="19">
        <v>17</v>
      </c>
      <c r="B20" s="20">
        <v>89.1</v>
      </c>
      <c r="C20" s="20">
        <v>3.2</v>
      </c>
      <c r="D20" s="21">
        <v>6.78</v>
      </c>
      <c r="E20" s="21">
        <v>8.636</v>
      </c>
      <c r="F20" s="21">
        <v>79.8</v>
      </c>
      <c r="G20" s="21">
        <v>17.9</v>
      </c>
      <c r="H20" s="21">
        <v>3.04</v>
      </c>
      <c r="I20" s="17"/>
      <c r="J20" s="13"/>
      <c r="AC20" s="17"/>
      <c r="AD20" s="13"/>
      <c r="AE20" s="17"/>
      <c r="AF20" s="13"/>
      <c r="AI20" s="17"/>
      <c r="AJ20" s="13"/>
      <c r="AM20" s="18"/>
      <c r="AN20" s="18"/>
      <c r="AO20" s="18"/>
      <c r="AP20" s="18"/>
      <c r="AQ20" s="18"/>
      <c r="AR20" s="17" t="s">
        <v>23</v>
      </c>
      <c r="AS20" s="13" t="e">
        <f>VLOOKUP($AC$11,$AH$4:$AQ$29,6)</f>
        <v>#N/A</v>
      </c>
    </row>
    <row r="21" spans="1:45" ht="22.5">
      <c r="A21" s="19">
        <v>18</v>
      </c>
      <c r="B21" s="20">
        <v>89.1</v>
      </c>
      <c r="C21" s="20">
        <v>4</v>
      </c>
      <c r="D21" s="21">
        <v>8.39</v>
      </c>
      <c r="E21" s="21">
        <v>10.69</v>
      </c>
      <c r="F21" s="21">
        <v>97</v>
      </c>
      <c r="G21" s="21">
        <v>21.8</v>
      </c>
      <c r="H21" s="21">
        <v>3.01</v>
      </c>
      <c r="I21" s="17"/>
      <c r="J21" s="13"/>
      <c r="AC21" s="17"/>
      <c r="AD21" s="13"/>
      <c r="AE21" s="17"/>
      <c r="AF21" s="13"/>
      <c r="AI21" s="17"/>
      <c r="AJ21" s="13"/>
      <c r="AM21" s="18"/>
      <c r="AN21" s="18"/>
      <c r="AO21" s="18"/>
      <c r="AP21" s="18"/>
      <c r="AQ21" s="18"/>
      <c r="AR21" s="17" t="s">
        <v>24</v>
      </c>
      <c r="AS21" s="13" t="e">
        <f>VLOOKUP($AC$11,$AH$4:$AQ$29,6)</f>
        <v>#N/A</v>
      </c>
    </row>
    <row r="22" spans="1:45" ht="22.5">
      <c r="A22" s="19">
        <v>19</v>
      </c>
      <c r="B22" s="20">
        <v>101.6</v>
      </c>
      <c r="C22" s="20">
        <v>3.2</v>
      </c>
      <c r="D22" s="21">
        <v>7.76</v>
      </c>
      <c r="E22" s="21">
        <v>9.892</v>
      </c>
      <c r="F22" s="21">
        <v>120</v>
      </c>
      <c r="G22" s="21">
        <v>23.8</v>
      </c>
      <c r="H22" s="21">
        <v>3.48</v>
      </c>
      <c r="I22" s="17"/>
      <c r="J22" s="13"/>
      <c r="AC22" s="17"/>
      <c r="AD22" s="13"/>
      <c r="AE22" s="17"/>
      <c r="AF22" s="13"/>
      <c r="AI22" s="17"/>
      <c r="AJ22" s="13"/>
      <c r="AM22" s="18"/>
      <c r="AN22" s="18"/>
      <c r="AO22" s="18"/>
      <c r="AP22" s="18"/>
      <c r="AQ22" s="18"/>
      <c r="AR22" s="17" t="s">
        <v>8</v>
      </c>
      <c r="AS22" s="13" t="e">
        <f>VLOOKUP($AC$11,$AH$4:$AQ$29,8)</f>
        <v>#N/A</v>
      </c>
    </row>
    <row r="23" spans="1:45" ht="22.5">
      <c r="A23" s="19">
        <v>20</v>
      </c>
      <c r="B23" s="20">
        <v>101.6</v>
      </c>
      <c r="C23" s="20">
        <v>4</v>
      </c>
      <c r="D23" s="21">
        <v>9.63</v>
      </c>
      <c r="E23" s="21">
        <v>12.26</v>
      </c>
      <c r="F23" s="21">
        <v>146</v>
      </c>
      <c r="G23" s="21">
        <v>28.8</v>
      </c>
      <c r="H23" s="21">
        <v>3.45</v>
      </c>
      <c r="I23" s="17"/>
      <c r="J23" s="24"/>
      <c r="AC23" s="17"/>
      <c r="AD23" s="24"/>
      <c r="AE23" s="17"/>
      <c r="AF23" s="24"/>
      <c r="AI23" s="17"/>
      <c r="AJ23" s="24"/>
      <c r="AM23" s="18"/>
      <c r="AN23" s="18"/>
      <c r="AO23" s="18"/>
      <c r="AP23" s="18"/>
      <c r="AQ23" s="18"/>
      <c r="AR23" s="17" t="s">
        <v>10</v>
      </c>
      <c r="AS23" s="13" t="e">
        <f>VLOOKUP($AC$11,$AH$4:$AQ$29,8)</f>
        <v>#N/A</v>
      </c>
    </row>
    <row r="24" spans="1:45" ht="22.5">
      <c r="A24" s="19">
        <v>21</v>
      </c>
      <c r="B24" s="20">
        <v>101.6</v>
      </c>
      <c r="C24" s="20">
        <v>5</v>
      </c>
      <c r="D24" s="21">
        <v>11.9</v>
      </c>
      <c r="E24" s="21">
        <v>15.17</v>
      </c>
      <c r="F24" s="21">
        <v>177</v>
      </c>
      <c r="G24" s="21">
        <v>34.9</v>
      </c>
      <c r="H24" s="21">
        <v>3.42</v>
      </c>
      <c r="I24" s="27"/>
      <c r="J24" s="27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7" t="s">
        <v>31</v>
      </c>
      <c r="AS24" s="24" t="e">
        <v>#N/A</v>
      </c>
    </row>
    <row r="25" spans="1:43" ht="22.5">
      <c r="A25" s="19">
        <v>22</v>
      </c>
      <c r="B25" s="20">
        <v>114.3</v>
      </c>
      <c r="C25" s="20">
        <v>3.2</v>
      </c>
      <c r="D25" s="21">
        <v>8.77</v>
      </c>
      <c r="E25" s="21">
        <v>11.17</v>
      </c>
      <c r="F25" s="21">
        <v>172</v>
      </c>
      <c r="G25" s="21">
        <v>30.2</v>
      </c>
      <c r="H25" s="21">
        <v>3.93</v>
      </c>
      <c r="I25" s="27"/>
      <c r="J25" s="27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ht="22.5">
      <c r="A26" s="19">
        <v>23</v>
      </c>
      <c r="B26" s="20">
        <v>114.3</v>
      </c>
      <c r="C26" s="20">
        <v>3.6</v>
      </c>
      <c r="D26" s="21">
        <v>9.83</v>
      </c>
      <c r="E26" s="21">
        <v>12.52</v>
      </c>
      <c r="F26" s="21">
        <v>192</v>
      </c>
      <c r="G26" s="21">
        <v>33.6</v>
      </c>
      <c r="H26" s="21">
        <v>3.92</v>
      </c>
      <c r="I26" s="27"/>
      <c r="J26" s="27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22.5">
      <c r="A27" s="19">
        <v>24</v>
      </c>
      <c r="B27" s="20">
        <v>114.3</v>
      </c>
      <c r="C27" s="20">
        <v>4.5</v>
      </c>
      <c r="D27" s="21">
        <v>12.2</v>
      </c>
      <c r="E27" s="21">
        <v>15.52</v>
      </c>
      <c r="F27" s="21">
        <v>234</v>
      </c>
      <c r="G27" s="21">
        <v>41</v>
      </c>
      <c r="H27" s="21">
        <v>3.89</v>
      </c>
      <c r="I27" s="27"/>
      <c r="J27" s="27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22.5">
      <c r="A28" s="19">
        <v>25</v>
      </c>
      <c r="B28" s="20">
        <v>114.3</v>
      </c>
      <c r="C28" s="20">
        <v>5.6</v>
      </c>
      <c r="D28" s="21">
        <v>15</v>
      </c>
      <c r="E28" s="21">
        <v>19.12</v>
      </c>
      <c r="F28" s="21">
        <v>283</v>
      </c>
      <c r="G28" s="21">
        <v>49.6</v>
      </c>
      <c r="H28" s="21">
        <v>3.85</v>
      </c>
      <c r="I28" s="27"/>
      <c r="J28" s="27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ht="22.5">
      <c r="A29" s="19">
        <v>26</v>
      </c>
      <c r="B29" s="20">
        <v>139.8</v>
      </c>
      <c r="C29" s="20">
        <v>3.6</v>
      </c>
      <c r="D29" s="21">
        <v>12.1</v>
      </c>
      <c r="E29" s="21">
        <v>15.4</v>
      </c>
      <c r="F29" s="21">
        <v>357</v>
      </c>
      <c r="G29" s="21">
        <v>51.1</v>
      </c>
      <c r="H29" s="21">
        <v>4.82</v>
      </c>
      <c r="I29" s="27"/>
      <c r="J29" s="27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ht="22.5">
      <c r="A30" s="19">
        <v>27</v>
      </c>
      <c r="B30" s="20">
        <v>139.8</v>
      </c>
      <c r="C30" s="20">
        <v>4</v>
      </c>
      <c r="D30" s="21">
        <v>13.4</v>
      </c>
      <c r="E30" s="21">
        <v>17.07</v>
      </c>
      <c r="F30" s="21">
        <v>394</v>
      </c>
      <c r="G30" s="21">
        <v>56.3</v>
      </c>
      <c r="H30" s="21">
        <v>4.8</v>
      </c>
      <c r="I30" s="27"/>
      <c r="J30" s="27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22.5">
      <c r="A31" s="19">
        <v>28</v>
      </c>
      <c r="B31" s="20">
        <v>139.4</v>
      </c>
      <c r="C31" s="20">
        <v>4.5</v>
      </c>
      <c r="D31" s="21">
        <v>15</v>
      </c>
      <c r="E31" s="21">
        <v>19.13</v>
      </c>
      <c r="F31" s="21">
        <v>438</v>
      </c>
      <c r="G31" s="21">
        <v>62.7</v>
      </c>
      <c r="H31" s="21">
        <v>4.79</v>
      </c>
      <c r="I31" s="27"/>
      <c r="J31" s="27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22.5">
      <c r="A32" s="19">
        <v>29</v>
      </c>
      <c r="B32" s="20">
        <v>139.4</v>
      </c>
      <c r="C32" s="20">
        <v>6</v>
      </c>
      <c r="D32" s="21">
        <v>19.8</v>
      </c>
      <c r="E32" s="21">
        <v>25.22</v>
      </c>
      <c r="F32" s="21">
        <v>566</v>
      </c>
      <c r="G32" s="21">
        <v>80.9</v>
      </c>
      <c r="H32" s="21">
        <v>4.74</v>
      </c>
      <c r="I32" s="27"/>
      <c r="J32" s="27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10" ht="22.5">
      <c r="A33" s="19">
        <v>30</v>
      </c>
      <c r="B33" s="20">
        <v>165.2</v>
      </c>
      <c r="C33" s="20">
        <v>4.5</v>
      </c>
      <c r="D33" s="21">
        <v>17.8</v>
      </c>
      <c r="E33" s="21">
        <v>22.72</v>
      </c>
      <c r="F33" s="21">
        <v>734</v>
      </c>
      <c r="G33" s="21">
        <v>88.9</v>
      </c>
      <c r="H33" s="21">
        <v>5.68</v>
      </c>
      <c r="I33" s="27"/>
      <c r="J33" s="27"/>
    </row>
    <row r="34" spans="1:10" ht="22.5">
      <c r="A34" s="19">
        <v>31</v>
      </c>
      <c r="B34" s="20">
        <v>165.2</v>
      </c>
      <c r="C34" s="20">
        <v>5</v>
      </c>
      <c r="D34" s="21">
        <v>19.8</v>
      </c>
      <c r="E34" s="21">
        <v>25.16</v>
      </c>
      <c r="F34" s="21">
        <v>808</v>
      </c>
      <c r="G34" s="21">
        <v>97.8</v>
      </c>
      <c r="H34" s="21">
        <v>5.67</v>
      </c>
      <c r="I34" s="27"/>
      <c r="J34" s="27"/>
    </row>
    <row r="35" spans="1:10" ht="22.5">
      <c r="A35" s="19">
        <v>32</v>
      </c>
      <c r="B35" s="20">
        <v>165.2</v>
      </c>
      <c r="C35" s="20">
        <v>6</v>
      </c>
      <c r="D35" s="21">
        <v>23.6</v>
      </c>
      <c r="E35" s="21">
        <v>30.01</v>
      </c>
      <c r="F35" s="21">
        <v>952</v>
      </c>
      <c r="G35" s="21">
        <v>115</v>
      </c>
      <c r="H35" s="21">
        <v>5.63</v>
      </c>
      <c r="I35" s="27"/>
      <c r="J35" s="27"/>
    </row>
    <row r="36" spans="1:10" ht="22.5">
      <c r="A36" s="19">
        <v>33</v>
      </c>
      <c r="B36" s="20">
        <v>165.2</v>
      </c>
      <c r="C36" s="20">
        <v>7</v>
      </c>
      <c r="D36" s="21">
        <v>27.3</v>
      </c>
      <c r="E36" s="21">
        <v>34.79</v>
      </c>
      <c r="F36" s="21">
        <v>1090</v>
      </c>
      <c r="G36" s="21">
        <v>132</v>
      </c>
      <c r="H36" s="21">
        <v>5.6</v>
      </c>
      <c r="I36" s="27"/>
      <c r="J36" s="27"/>
    </row>
    <row r="37" spans="1:10" ht="22.5">
      <c r="A37" s="19">
        <v>34</v>
      </c>
      <c r="B37" s="20">
        <v>190.7</v>
      </c>
      <c r="C37" s="20">
        <v>4.5</v>
      </c>
      <c r="D37" s="21">
        <v>20.7</v>
      </c>
      <c r="E37" s="21">
        <v>26.32</v>
      </c>
      <c r="F37" s="21">
        <v>1140</v>
      </c>
      <c r="G37" s="21">
        <v>120</v>
      </c>
      <c r="H37" s="21">
        <v>6.59</v>
      </c>
      <c r="I37" s="27"/>
      <c r="J37" s="27"/>
    </row>
    <row r="38" spans="1:10" ht="22.5">
      <c r="A38" s="19">
        <v>35</v>
      </c>
      <c r="B38" s="20">
        <v>190.7</v>
      </c>
      <c r="C38" s="20">
        <v>5</v>
      </c>
      <c r="D38" s="21">
        <v>22.9</v>
      </c>
      <c r="E38" s="21">
        <v>29.17</v>
      </c>
      <c r="F38" s="21">
        <v>1260</v>
      </c>
      <c r="G38" s="21">
        <v>132</v>
      </c>
      <c r="H38" s="21">
        <v>6.57</v>
      </c>
      <c r="I38" s="27"/>
      <c r="J38" s="27"/>
    </row>
    <row r="39" spans="1:10" ht="22.5">
      <c r="A39" s="19">
        <v>36</v>
      </c>
      <c r="B39" s="20">
        <v>190.7</v>
      </c>
      <c r="C39" s="20">
        <v>6</v>
      </c>
      <c r="D39" s="21">
        <v>27.3</v>
      </c>
      <c r="E39" s="21">
        <v>34.82</v>
      </c>
      <c r="F39" s="21">
        <v>1490</v>
      </c>
      <c r="G39" s="21">
        <v>156</v>
      </c>
      <c r="H39" s="21">
        <v>6.53</v>
      </c>
      <c r="I39" s="27"/>
      <c r="J39" s="27"/>
    </row>
    <row r="40" spans="1:10" ht="22.5">
      <c r="A40" s="29">
        <v>37</v>
      </c>
      <c r="B40" s="30">
        <v>190.7</v>
      </c>
      <c r="C40" s="30">
        <v>7</v>
      </c>
      <c r="D40" s="31">
        <v>31.7</v>
      </c>
      <c r="E40" s="31">
        <v>40.4</v>
      </c>
      <c r="F40" s="31">
        <v>1710</v>
      </c>
      <c r="G40" s="31">
        <v>179</v>
      </c>
      <c r="H40" s="31">
        <v>6.5</v>
      </c>
      <c r="I40" s="27"/>
      <c r="J40" s="27"/>
    </row>
    <row r="41" spans="9:10" ht="22.5">
      <c r="I41" s="32"/>
      <c r="J41" s="32"/>
    </row>
    <row r="42" spans="1:63" ht="22.5">
      <c r="A42" s="135" t="s">
        <v>45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P42" s="135" t="s">
        <v>46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7"/>
      <c r="AG42" s="33"/>
      <c r="AH42" s="135" t="s">
        <v>47</v>
      </c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7"/>
      <c r="AX42" s="135" t="s">
        <v>48</v>
      </c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7"/>
    </row>
    <row r="43" spans="1:63" ht="22.5">
      <c r="A43" s="132" t="s">
        <v>14</v>
      </c>
      <c r="B43" s="4" t="s">
        <v>22</v>
      </c>
      <c r="C43" s="4" t="s">
        <v>4</v>
      </c>
      <c r="D43" s="4" t="s">
        <v>6</v>
      </c>
      <c r="E43" s="4" t="s">
        <v>16</v>
      </c>
      <c r="F43" s="4" t="s">
        <v>17</v>
      </c>
      <c r="G43" s="4" t="s">
        <v>18</v>
      </c>
      <c r="H43" s="4" t="s">
        <v>23</v>
      </c>
      <c r="I43" s="4" t="s">
        <v>24</v>
      </c>
      <c r="J43" s="4" t="s">
        <v>25</v>
      </c>
      <c r="K43" s="4" t="s">
        <v>26</v>
      </c>
      <c r="L43" s="4" t="s">
        <v>8</v>
      </c>
      <c r="M43" s="4" t="s">
        <v>10</v>
      </c>
      <c r="P43" s="3" t="s">
        <v>14</v>
      </c>
      <c r="Q43" s="4" t="s">
        <v>22</v>
      </c>
      <c r="R43" s="4" t="s">
        <v>4</v>
      </c>
      <c r="S43" s="4" t="s">
        <v>6</v>
      </c>
      <c r="T43" s="4" t="s">
        <v>49</v>
      </c>
      <c r="U43" s="4" t="s">
        <v>50</v>
      </c>
      <c r="V43" s="4" t="s">
        <v>17</v>
      </c>
      <c r="W43" s="4" t="s">
        <v>18</v>
      </c>
      <c r="X43" s="4" t="s">
        <v>23</v>
      </c>
      <c r="Y43" s="4" t="s">
        <v>24</v>
      </c>
      <c r="Z43" s="4" t="s">
        <v>25</v>
      </c>
      <c r="AA43" s="4" t="s">
        <v>26</v>
      </c>
      <c r="AB43" s="4" t="s">
        <v>8</v>
      </c>
      <c r="AC43" s="4" t="s">
        <v>10</v>
      </c>
      <c r="AG43" s="140"/>
      <c r="AH43" s="132" t="s">
        <v>14</v>
      </c>
      <c r="AI43" s="4" t="s">
        <v>22</v>
      </c>
      <c r="AJ43" s="4" t="s">
        <v>4</v>
      </c>
      <c r="AK43" s="4" t="s">
        <v>6</v>
      </c>
      <c r="AL43" s="4" t="s">
        <v>49</v>
      </c>
      <c r="AM43" s="4" t="s">
        <v>50</v>
      </c>
      <c r="AN43" s="4" t="s">
        <v>17</v>
      </c>
      <c r="AO43" s="4" t="s">
        <v>18</v>
      </c>
      <c r="AP43" s="4" t="s">
        <v>19</v>
      </c>
      <c r="AQ43" s="4" t="s">
        <v>19</v>
      </c>
      <c r="AR43" s="4" t="s">
        <v>20</v>
      </c>
      <c r="AS43" s="4" t="s">
        <v>20</v>
      </c>
      <c r="AT43" s="4" t="s">
        <v>21</v>
      </c>
      <c r="AU43" s="4" t="s">
        <v>21</v>
      </c>
      <c r="AX43" s="132" t="s">
        <v>14</v>
      </c>
      <c r="AY43" s="4" t="s">
        <v>22</v>
      </c>
      <c r="AZ43" s="4" t="s">
        <v>4</v>
      </c>
      <c r="BA43" s="4" t="s">
        <v>6</v>
      </c>
      <c r="BB43" s="4" t="s">
        <v>49</v>
      </c>
      <c r="BC43" s="4" t="s">
        <v>50</v>
      </c>
      <c r="BD43" s="4" t="s">
        <v>17</v>
      </c>
      <c r="BE43" s="4" t="s">
        <v>18</v>
      </c>
      <c r="BF43" s="4" t="s">
        <v>19</v>
      </c>
      <c r="BG43" s="4" t="s">
        <v>19</v>
      </c>
      <c r="BH43" s="4" t="s">
        <v>20</v>
      </c>
      <c r="BI43" s="4" t="s">
        <v>20</v>
      </c>
      <c r="BJ43" s="4" t="s">
        <v>21</v>
      </c>
      <c r="BK43" s="4" t="s">
        <v>21</v>
      </c>
    </row>
    <row r="44" spans="1:63" ht="25.5">
      <c r="A44" s="133"/>
      <c r="B44" s="4" t="s">
        <v>27</v>
      </c>
      <c r="C44" s="4" t="s">
        <v>27</v>
      </c>
      <c r="D44" s="4" t="s">
        <v>27</v>
      </c>
      <c r="E44" s="4" t="s">
        <v>27</v>
      </c>
      <c r="F44" s="4" t="s">
        <v>28</v>
      </c>
      <c r="G44" s="4" t="s">
        <v>124</v>
      </c>
      <c r="H44" s="4" t="s">
        <v>125</v>
      </c>
      <c r="I44" s="4" t="s">
        <v>125</v>
      </c>
      <c r="J44" s="4" t="s">
        <v>126</v>
      </c>
      <c r="K44" s="4" t="s">
        <v>126</v>
      </c>
      <c r="L44" s="4" t="s">
        <v>29</v>
      </c>
      <c r="M44" s="4" t="s">
        <v>29</v>
      </c>
      <c r="N44" s="9"/>
      <c r="O44" s="9"/>
      <c r="P44" s="8"/>
      <c r="Q44" s="4" t="s">
        <v>27</v>
      </c>
      <c r="R44" s="4" t="s">
        <v>27</v>
      </c>
      <c r="S44" s="4" t="s">
        <v>27</v>
      </c>
      <c r="T44" s="4" t="s">
        <v>27</v>
      </c>
      <c r="U44" s="4" t="s">
        <v>27</v>
      </c>
      <c r="V44" s="4" t="s">
        <v>28</v>
      </c>
      <c r="W44" s="4" t="s">
        <v>124</v>
      </c>
      <c r="X44" s="4" t="s">
        <v>125</v>
      </c>
      <c r="Y44" s="4" t="s">
        <v>125</v>
      </c>
      <c r="Z44" s="4" t="s">
        <v>126</v>
      </c>
      <c r="AA44" s="4" t="s">
        <v>126</v>
      </c>
      <c r="AB44" s="4" t="s">
        <v>29</v>
      </c>
      <c r="AC44" s="4" t="s">
        <v>29</v>
      </c>
      <c r="AD44" s="9"/>
      <c r="AG44" s="140"/>
      <c r="AH44" s="133"/>
      <c r="AI44" s="4" t="s">
        <v>27</v>
      </c>
      <c r="AJ44" s="4" t="s">
        <v>27</v>
      </c>
      <c r="AK44" s="4" t="s">
        <v>27</v>
      </c>
      <c r="AL44" s="4" t="s">
        <v>27</v>
      </c>
      <c r="AM44" s="4" t="s">
        <v>27</v>
      </c>
      <c r="AN44" s="4" t="s">
        <v>28</v>
      </c>
      <c r="AO44" s="4" t="s">
        <v>124</v>
      </c>
      <c r="AP44" s="4" t="s">
        <v>127</v>
      </c>
      <c r="AQ44" s="4" t="s">
        <v>128</v>
      </c>
      <c r="AR44" s="4" t="s">
        <v>129</v>
      </c>
      <c r="AS44" s="4" t="s">
        <v>130</v>
      </c>
      <c r="AT44" s="4" t="s">
        <v>51</v>
      </c>
      <c r="AU44" s="4" t="s">
        <v>52</v>
      </c>
      <c r="AX44" s="133"/>
      <c r="AY44" s="4" t="s">
        <v>27</v>
      </c>
      <c r="AZ44" s="4" t="s">
        <v>27</v>
      </c>
      <c r="BA44" s="4" t="s">
        <v>27</v>
      </c>
      <c r="BB44" s="4" t="s">
        <v>27</v>
      </c>
      <c r="BC44" s="4" t="s">
        <v>27</v>
      </c>
      <c r="BD44" s="4" t="s">
        <v>28</v>
      </c>
      <c r="BE44" s="4" t="s">
        <v>124</v>
      </c>
      <c r="BF44" s="4" t="s">
        <v>127</v>
      </c>
      <c r="BG44" s="4" t="s">
        <v>128</v>
      </c>
      <c r="BH44" s="4" t="s">
        <v>129</v>
      </c>
      <c r="BI44" s="4" t="s">
        <v>130</v>
      </c>
      <c r="BJ44" s="4" t="s">
        <v>51</v>
      </c>
      <c r="BK44" s="4" t="s">
        <v>52</v>
      </c>
    </row>
    <row r="45" spans="1:64" ht="22.5">
      <c r="A45" s="15">
        <v>1</v>
      </c>
      <c r="B45" s="15" t="s">
        <v>53</v>
      </c>
      <c r="C45" s="15">
        <v>50</v>
      </c>
      <c r="D45" s="15">
        <v>25</v>
      </c>
      <c r="E45" s="16">
        <v>1.6</v>
      </c>
      <c r="F45" s="16">
        <v>1.75</v>
      </c>
      <c r="G45" s="16">
        <v>2.232</v>
      </c>
      <c r="H45" s="16">
        <v>7.02</v>
      </c>
      <c r="I45" s="16">
        <v>2.37</v>
      </c>
      <c r="J45" s="16">
        <v>2.81</v>
      </c>
      <c r="K45" s="16">
        <v>0.95</v>
      </c>
      <c r="L45" s="16">
        <v>1.77</v>
      </c>
      <c r="M45" s="16">
        <v>1.03</v>
      </c>
      <c r="N45" s="9" t="e">
        <f>#REF!</f>
        <v>#REF!</v>
      </c>
      <c r="O45" s="9"/>
      <c r="P45" s="15">
        <v>1</v>
      </c>
      <c r="Q45" s="15" t="s">
        <v>54</v>
      </c>
      <c r="R45" s="15">
        <v>75</v>
      </c>
      <c r="S45" s="15">
        <v>40</v>
      </c>
      <c r="T45" s="15">
        <v>5</v>
      </c>
      <c r="U45" s="15">
        <v>7</v>
      </c>
      <c r="V45" s="15">
        <v>6.92</v>
      </c>
      <c r="W45" s="15">
        <v>8.82</v>
      </c>
      <c r="X45" s="15">
        <v>75.9</v>
      </c>
      <c r="Y45" s="15">
        <v>12.4</v>
      </c>
      <c r="Z45" s="15">
        <v>20.2</v>
      </c>
      <c r="AA45" s="15">
        <v>4.54</v>
      </c>
      <c r="AB45" s="34">
        <v>2.93</v>
      </c>
      <c r="AC45" s="34">
        <v>1.19</v>
      </c>
      <c r="AD45" s="9" t="e">
        <f>#REF!</f>
        <v>#REF!</v>
      </c>
      <c r="AF45" s="17"/>
      <c r="AG45" s="18"/>
      <c r="AH45" s="35">
        <v>1</v>
      </c>
      <c r="AI45" s="18" t="s">
        <v>55</v>
      </c>
      <c r="AJ45" s="18">
        <v>80</v>
      </c>
      <c r="AK45" s="18">
        <v>42</v>
      </c>
      <c r="AL45" s="36">
        <v>3.9</v>
      </c>
      <c r="AM45" s="36">
        <v>5.9</v>
      </c>
      <c r="AN45" s="36">
        <v>5.94</v>
      </c>
      <c r="AO45" s="36">
        <v>7.57</v>
      </c>
      <c r="AP45" s="36">
        <v>77.8</v>
      </c>
      <c r="AQ45" s="36">
        <v>6.29</v>
      </c>
      <c r="AR45" s="36">
        <v>19.5</v>
      </c>
      <c r="AS45" s="36">
        <v>3</v>
      </c>
      <c r="AT45" s="36">
        <v>3.2</v>
      </c>
      <c r="AU45" s="37">
        <v>0.91</v>
      </c>
      <c r="AV45" s="9" t="e">
        <f>#REF!</f>
        <v>#REF!</v>
      </c>
      <c r="AX45" s="15">
        <v>1</v>
      </c>
      <c r="AY45" s="15" t="s">
        <v>56</v>
      </c>
      <c r="AZ45" s="15">
        <v>100</v>
      </c>
      <c r="BA45" s="15">
        <v>50</v>
      </c>
      <c r="BB45" s="15">
        <v>5</v>
      </c>
      <c r="BC45" s="15">
        <v>7</v>
      </c>
      <c r="BD45" s="15">
        <v>9.3</v>
      </c>
      <c r="BE45" s="15">
        <v>11.85</v>
      </c>
      <c r="BF45" s="15">
        <v>187</v>
      </c>
      <c r="BG45" s="15">
        <v>14.8</v>
      </c>
      <c r="BH45" s="15">
        <v>37.5</v>
      </c>
      <c r="BI45" s="15">
        <v>5.91</v>
      </c>
      <c r="BJ45" s="15">
        <v>3.98</v>
      </c>
      <c r="BK45" s="15">
        <v>1.12</v>
      </c>
      <c r="BL45" s="9" t="e">
        <f>#REF!</f>
        <v>#REF!</v>
      </c>
    </row>
    <row r="46" spans="1:65" ht="22.5">
      <c r="A46" s="22">
        <v>2</v>
      </c>
      <c r="B46" s="22" t="s">
        <v>53</v>
      </c>
      <c r="C46" s="22">
        <v>50</v>
      </c>
      <c r="D46" s="22">
        <v>25</v>
      </c>
      <c r="E46" s="23">
        <v>2.3</v>
      </c>
      <c r="F46" s="23">
        <v>2.44</v>
      </c>
      <c r="G46" s="23">
        <v>3.102</v>
      </c>
      <c r="H46" s="23">
        <v>9.31</v>
      </c>
      <c r="I46" s="23">
        <v>3.1</v>
      </c>
      <c r="J46" s="23">
        <v>3.72</v>
      </c>
      <c r="K46" s="23">
        <v>1.24</v>
      </c>
      <c r="L46" s="23">
        <v>1.73</v>
      </c>
      <c r="M46" s="23">
        <v>1</v>
      </c>
      <c r="N46" s="17" t="s">
        <v>31</v>
      </c>
      <c r="O46" s="13" t="e">
        <f>VLOOKUP($N$45,$A$45:$M$64,2)</f>
        <v>#REF!</v>
      </c>
      <c r="P46" s="22">
        <v>2</v>
      </c>
      <c r="Q46" s="22" t="s">
        <v>56</v>
      </c>
      <c r="R46" s="22">
        <v>100</v>
      </c>
      <c r="S46" s="22">
        <v>50</v>
      </c>
      <c r="T46" s="22">
        <v>5</v>
      </c>
      <c r="U46" s="22">
        <v>7.5</v>
      </c>
      <c r="V46" s="22">
        <v>9.36</v>
      </c>
      <c r="W46" s="22">
        <v>11.92</v>
      </c>
      <c r="X46" s="22">
        <v>189</v>
      </c>
      <c r="Y46" s="22">
        <v>26.9</v>
      </c>
      <c r="Z46" s="22">
        <v>37.8</v>
      </c>
      <c r="AA46" s="22">
        <v>7.82</v>
      </c>
      <c r="AB46" s="38">
        <v>3.98</v>
      </c>
      <c r="AC46" s="38">
        <v>1.5</v>
      </c>
      <c r="AD46" s="17" t="s">
        <v>31</v>
      </c>
      <c r="AE46" s="13" t="e">
        <f>VLOOKUP($AD$45,$P$45:$AC$61,2)</f>
        <v>#REF!</v>
      </c>
      <c r="AF46" s="17" t="s">
        <v>4</v>
      </c>
      <c r="AG46" s="13" t="e">
        <f>VLOOKUP($AD$45,$P$45:$AC$61,3)</f>
        <v>#REF!</v>
      </c>
      <c r="AH46" s="35">
        <v>2</v>
      </c>
      <c r="AI46" s="18" t="s">
        <v>56</v>
      </c>
      <c r="AJ46" s="18">
        <v>100</v>
      </c>
      <c r="AK46" s="18">
        <v>50</v>
      </c>
      <c r="AL46" s="36">
        <v>4.5</v>
      </c>
      <c r="AM46" s="36">
        <v>6.8</v>
      </c>
      <c r="AN46" s="36">
        <v>8.34</v>
      </c>
      <c r="AO46" s="36">
        <v>10.6</v>
      </c>
      <c r="AP46" s="36">
        <v>171</v>
      </c>
      <c r="AQ46" s="36">
        <v>12.2</v>
      </c>
      <c r="AR46" s="36">
        <v>34.2</v>
      </c>
      <c r="AS46" s="36">
        <v>4.88</v>
      </c>
      <c r="AT46" s="36">
        <v>4.01</v>
      </c>
      <c r="AU46" s="37">
        <v>1.07</v>
      </c>
      <c r="AV46" s="17" t="s">
        <v>31</v>
      </c>
      <c r="AW46" s="13" t="e">
        <f>VLOOKUP($AV$45,$AH$45:$AU$67,2)</f>
        <v>#REF!</v>
      </c>
      <c r="AX46" s="22">
        <v>2</v>
      </c>
      <c r="AY46" s="22" t="s">
        <v>57</v>
      </c>
      <c r="AZ46" s="22">
        <v>100</v>
      </c>
      <c r="BA46" s="22">
        <v>100</v>
      </c>
      <c r="BB46" s="22">
        <v>6</v>
      </c>
      <c r="BC46" s="22">
        <v>8</v>
      </c>
      <c r="BD46" s="22">
        <v>17.2</v>
      </c>
      <c r="BE46" s="22">
        <v>21.9</v>
      </c>
      <c r="BF46" s="22">
        <v>383</v>
      </c>
      <c r="BG46" s="22">
        <v>134</v>
      </c>
      <c r="BH46" s="22">
        <v>76.5</v>
      </c>
      <c r="BI46" s="22">
        <v>26.7</v>
      </c>
      <c r="BJ46" s="22">
        <v>4.18</v>
      </c>
      <c r="BK46" s="22">
        <v>2.47</v>
      </c>
      <c r="BL46" s="17" t="s">
        <v>31</v>
      </c>
      <c r="BM46" s="13" t="e">
        <f>VLOOKUP($BL$45,$AX$45:$BK$124,2)</f>
        <v>#REF!</v>
      </c>
    </row>
    <row r="47" spans="1:65" ht="22.5">
      <c r="A47" s="22">
        <v>3</v>
      </c>
      <c r="B47" s="22" t="s">
        <v>58</v>
      </c>
      <c r="C47" s="22">
        <v>60</v>
      </c>
      <c r="D47" s="22">
        <v>30</v>
      </c>
      <c r="E47" s="23">
        <v>1.6</v>
      </c>
      <c r="F47" s="23">
        <v>2.13</v>
      </c>
      <c r="G47" s="23">
        <v>2.712</v>
      </c>
      <c r="H47" s="23">
        <v>12.49</v>
      </c>
      <c r="I47" s="23">
        <v>4.25</v>
      </c>
      <c r="J47" s="23">
        <v>4.16</v>
      </c>
      <c r="K47" s="23">
        <v>1.42</v>
      </c>
      <c r="L47" s="23">
        <v>2.15</v>
      </c>
      <c r="M47" s="23">
        <v>1.25</v>
      </c>
      <c r="N47" s="17" t="s">
        <v>33</v>
      </c>
      <c r="O47" s="13" t="e">
        <f>VLOOKUP($N$45,$A$45:$M$64,5)</f>
        <v>#REF!</v>
      </c>
      <c r="P47" s="22">
        <v>3</v>
      </c>
      <c r="Q47" s="22" t="s">
        <v>59</v>
      </c>
      <c r="R47" s="22">
        <v>125</v>
      </c>
      <c r="S47" s="22">
        <v>65</v>
      </c>
      <c r="T47" s="22">
        <v>6</v>
      </c>
      <c r="U47" s="22">
        <v>8</v>
      </c>
      <c r="V47" s="22">
        <v>13.4</v>
      </c>
      <c r="W47" s="22">
        <v>17.11</v>
      </c>
      <c r="X47" s="22">
        <v>425</v>
      </c>
      <c r="Y47" s="22">
        <v>65.5</v>
      </c>
      <c r="Z47" s="22">
        <v>68</v>
      </c>
      <c r="AA47" s="22">
        <v>14.4</v>
      </c>
      <c r="AB47" s="38">
        <v>4.99</v>
      </c>
      <c r="AC47" s="38">
        <v>1.96</v>
      </c>
      <c r="AD47" s="17" t="s">
        <v>33</v>
      </c>
      <c r="AE47" s="13" t="e">
        <f>VLOOKUP($AD$45,$P$45:$AC$61,5)</f>
        <v>#REF!</v>
      </c>
      <c r="AF47" s="17" t="s">
        <v>6</v>
      </c>
      <c r="AG47" s="13" t="e">
        <f>VLOOKUP($AD$45,$P$45:$AC$61,4)</f>
        <v>#REF!</v>
      </c>
      <c r="AH47" s="35">
        <v>3</v>
      </c>
      <c r="AI47" s="18" t="s">
        <v>60</v>
      </c>
      <c r="AJ47" s="18">
        <v>120</v>
      </c>
      <c r="AK47" s="18">
        <v>58</v>
      </c>
      <c r="AL47" s="36">
        <v>5.1</v>
      </c>
      <c r="AM47" s="36">
        <v>7.7</v>
      </c>
      <c r="AN47" s="36">
        <v>11.1</v>
      </c>
      <c r="AO47" s="36">
        <v>14.2</v>
      </c>
      <c r="AP47" s="36">
        <v>323</v>
      </c>
      <c r="AQ47" s="36">
        <v>21.5</v>
      </c>
      <c r="AR47" s="36">
        <v>54.7</v>
      </c>
      <c r="AS47" s="36">
        <v>7.41</v>
      </c>
      <c r="AT47" s="36">
        <v>4.81</v>
      </c>
      <c r="AU47" s="37">
        <v>1.23</v>
      </c>
      <c r="AV47" s="17" t="s">
        <v>4</v>
      </c>
      <c r="AW47" s="13" t="e">
        <f>VLOOKUP($AV$45,$AH$45:$AU$67,3)</f>
        <v>#REF!</v>
      </c>
      <c r="AX47" s="22">
        <v>3</v>
      </c>
      <c r="AY47" s="22" t="s">
        <v>61</v>
      </c>
      <c r="AZ47" s="22">
        <v>125</v>
      </c>
      <c r="BA47" s="22">
        <v>60</v>
      </c>
      <c r="BB47" s="22">
        <v>6</v>
      </c>
      <c r="BC47" s="22">
        <v>8</v>
      </c>
      <c r="BD47" s="22">
        <v>13.2</v>
      </c>
      <c r="BE47" s="22">
        <v>16.84</v>
      </c>
      <c r="BF47" s="22">
        <v>413</v>
      </c>
      <c r="BG47" s="22">
        <v>29.2</v>
      </c>
      <c r="BH47" s="22">
        <v>66.1</v>
      </c>
      <c r="BI47" s="22">
        <v>9.73</v>
      </c>
      <c r="BJ47" s="22">
        <v>4.95</v>
      </c>
      <c r="BK47" s="22">
        <v>1.321</v>
      </c>
      <c r="BL47" s="17" t="s">
        <v>4</v>
      </c>
      <c r="BM47" s="13" t="e">
        <f>VLOOKUP($BL$45,$AX$45:$BK$124,3)</f>
        <v>#REF!</v>
      </c>
    </row>
    <row r="48" spans="1:65" ht="22.5">
      <c r="A48" s="22">
        <v>4</v>
      </c>
      <c r="B48" s="22" t="s">
        <v>58</v>
      </c>
      <c r="C48" s="22">
        <v>60</v>
      </c>
      <c r="D48" s="22">
        <v>30</v>
      </c>
      <c r="E48" s="23">
        <v>2.3</v>
      </c>
      <c r="F48" s="23">
        <v>2.98</v>
      </c>
      <c r="G48" s="23">
        <v>3.792</v>
      </c>
      <c r="H48" s="23">
        <v>16.82</v>
      </c>
      <c r="I48" s="23">
        <v>5.65</v>
      </c>
      <c r="J48" s="23">
        <v>5.61</v>
      </c>
      <c r="K48" s="23">
        <v>1.88</v>
      </c>
      <c r="L48" s="23">
        <v>2.11</v>
      </c>
      <c r="M48" s="23">
        <v>1.22</v>
      </c>
      <c r="N48" s="17" t="s">
        <v>35</v>
      </c>
      <c r="O48" s="13" t="e">
        <f>VLOOKUP($N$45,$A$45:$M$64,5)</f>
        <v>#REF!</v>
      </c>
      <c r="P48" s="22">
        <v>4</v>
      </c>
      <c r="Q48" s="22" t="s">
        <v>62</v>
      </c>
      <c r="R48" s="22">
        <v>150</v>
      </c>
      <c r="S48" s="22">
        <v>75</v>
      </c>
      <c r="T48" s="22">
        <v>6.5</v>
      </c>
      <c r="U48" s="22">
        <v>10</v>
      </c>
      <c r="V48" s="22">
        <v>18.6</v>
      </c>
      <c r="W48" s="22">
        <v>23.71</v>
      </c>
      <c r="X48" s="22">
        <v>864</v>
      </c>
      <c r="Y48" s="22">
        <v>122</v>
      </c>
      <c r="Z48" s="22">
        <v>115</v>
      </c>
      <c r="AA48" s="22">
        <v>23.6</v>
      </c>
      <c r="AB48" s="38">
        <v>6.04</v>
      </c>
      <c r="AC48" s="38">
        <v>2.27</v>
      </c>
      <c r="AD48" s="17" t="s">
        <v>35</v>
      </c>
      <c r="AE48" s="13" t="e">
        <f>VLOOKUP($AD$45,$P$45:$AC$61,6)</f>
        <v>#REF!</v>
      </c>
      <c r="AG48" s="18"/>
      <c r="AH48" s="35">
        <v>4</v>
      </c>
      <c r="AI48" s="18" t="s">
        <v>63</v>
      </c>
      <c r="AJ48" s="18">
        <v>140</v>
      </c>
      <c r="AK48" s="18">
        <v>66</v>
      </c>
      <c r="AL48" s="36">
        <v>5.7</v>
      </c>
      <c r="AM48" s="36">
        <v>8.6</v>
      </c>
      <c r="AN48" s="36">
        <v>14.3</v>
      </c>
      <c r="AO48" s="36">
        <v>18.2</v>
      </c>
      <c r="AP48" s="36">
        <v>573</v>
      </c>
      <c r="AQ48" s="36">
        <v>35.2</v>
      </c>
      <c r="AR48" s="36">
        <v>81.9</v>
      </c>
      <c r="AS48" s="36">
        <v>10.7</v>
      </c>
      <c r="AT48" s="36">
        <v>5.61</v>
      </c>
      <c r="AU48" s="37">
        <v>1.4</v>
      </c>
      <c r="AV48" s="17" t="s">
        <v>6</v>
      </c>
      <c r="AW48" s="13" t="e">
        <f>VLOOKUP($AV$45,$AH$45:$AU$67,4)</f>
        <v>#REF!</v>
      </c>
      <c r="AX48" s="22">
        <v>4</v>
      </c>
      <c r="AY48" s="22" t="s">
        <v>64</v>
      </c>
      <c r="AZ48" s="22">
        <v>125</v>
      </c>
      <c r="BA48" s="22">
        <v>125</v>
      </c>
      <c r="BB48" s="22">
        <v>6.5</v>
      </c>
      <c r="BC48" s="22">
        <v>9</v>
      </c>
      <c r="BD48" s="22">
        <v>23.8</v>
      </c>
      <c r="BE48" s="22">
        <v>30.31</v>
      </c>
      <c r="BF48" s="22">
        <v>847</v>
      </c>
      <c r="BG48" s="22">
        <v>293</v>
      </c>
      <c r="BH48" s="22">
        <v>136</v>
      </c>
      <c r="BI48" s="22">
        <v>47</v>
      </c>
      <c r="BJ48" s="22">
        <v>5.29</v>
      </c>
      <c r="BK48" s="22">
        <v>3.11</v>
      </c>
      <c r="BL48" s="17" t="s">
        <v>6</v>
      </c>
      <c r="BM48" s="13" t="e">
        <f>VLOOKUP($BL$45,$AX$45:$BK$124,4)</f>
        <v>#REF!</v>
      </c>
    </row>
    <row r="49" spans="1:65" ht="22.5">
      <c r="A49" s="22">
        <v>5</v>
      </c>
      <c r="B49" s="22" t="s">
        <v>65</v>
      </c>
      <c r="C49" s="22">
        <v>75</v>
      </c>
      <c r="D49" s="22">
        <v>45</v>
      </c>
      <c r="E49" s="23">
        <v>2.3</v>
      </c>
      <c r="F49" s="23">
        <v>4.06</v>
      </c>
      <c r="G49" s="23">
        <v>5.172</v>
      </c>
      <c r="H49" s="23">
        <v>38.86</v>
      </c>
      <c r="I49" s="23">
        <v>17.61</v>
      </c>
      <c r="J49" s="23">
        <v>10.36</v>
      </c>
      <c r="K49" s="23">
        <v>4.69</v>
      </c>
      <c r="L49" s="23">
        <v>2.74</v>
      </c>
      <c r="M49" s="23">
        <v>1.84</v>
      </c>
      <c r="N49" s="17" t="s">
        <v>36</v>
      </c>
      <c r="O49" s="13" t="e">
        <f>VLOOKUP($N$45,$A$45:$M$64,7)</f>
        <v>#REF!</v>
      </c>
      <c r="P49" s="22">
        <v>5</v>
      </c>
      <c r="Q49" s="22" t="s">
        <v>62</v>
      </c>
      <c r="R49" s="22">
        <v>150</v>
      </c>
      <c r="S49" s="22">
        <v>75</v>
      </c>
      <c r="T49" s="22">
        <v>9</v>
      </c>
      <c r="U49" s="22">
        <v>12.5</v>
      </c>
      <c r="V49" s="22">
        <v>24</v>
      </c>
      <c r="W49" s="22">
        <v>30.59</v>
      </c>
      <c r="X49" s="22">
        <v>1050</v>
      </c>
      <c r="Y49" s="22">
        <v>147</v>
      </c>
      <c r="Z49" s="22">
        <v>140</v>
      </c>
      <c r="AA49" s="22">
        <v>28.3</v>
      </c>
      <c r="AB49" s="38">
        <v>5.86</v>
      </c>
      <c r="AC49" s="38">
        <v>2.19</v>
      </c>
      <c r="AD49" s="17" t="s">
        <v>36</v>
      </c>
      <c r="AE49" s="13" t="e">
        <f>VLOOKUP($AD$45,$P$45:$AC$61,8)</f>
        <v>#REF!</v>
      </c>
      <c r="AG49" s="18"/>
      <c r="AH49" s="35">
        <v>5</v>
      </c>
      <c r="AI49" s="18" t="s">
        <v>66</v>
      </c>
      <c r="AJ49" s="18">
        <v>160</v>
      </c>
      <c r="AK49" s="18">
        <v>74</v>
      </c>
      <c r="AL49" s="36">
        <v>6.3</v>
      </c>
      <c r="AM49" s="36">
        <v>9.5</v>
      </c>
      <c r="AN49" s="36">
        <v>17.9</v>
      </c>
      <c r="AO49" s="36">
        <v>22.8</v>
      </c>
      <c r="AP49" s="36">
        <v>935</v>
      </c>
      <c r="AQ49" s="36">
        <v>54.7</v>
      </c>
      <c r="AR49" s="36">
        <v>117</v>
      </c>
      <c r="AS49" s="36">
        <v>14.8</v>
      </c>
      <c r="AT49" s="36">
        <v>6.4</v>
      </c>
      <c r="AU49" s="37">
        <v>1.55</v>
      </c>
      <c r="AV49" s="17" t="s">
        <v>33</v>
      </c>
      <c r="AW49" s="13" t="e">
        <f>VLOOKUP($AV$45,$AH$45:$AU$67,5)</f>
        <v>#REF!</v>
      </c>
      <c r="AX49" s="39">
        <v>5</v>
      </c>
      <c r="AY49" s="22" t="s">
        <v>62</v>
      </c>
      <c r="AZ49" s="22">
        <v>150</v>
      </c>
      <c r="BA49" s="22">
        <v>75</v>
      </c>
      <c r="BB49" s="22">
        <v>5</v>
      </c>
      <c r="BC49" s="22">
        <v>7</v>
      </c>
      <c r="BD49" s="22">
        <v>14</v>
      </c>
      <c r="BE49" s="22">
        <v>17.85</v>
      </c>
      <c r="BF49" s="22">
        <v>666</v>
      </c>
      <c r="BG49" s="22">
        <v>49.5</v>
      </c>
      <c r="BH49" s="22">
        <v>88.8</v>
      </c>
      <c r="BI49" s="22">
        <v>13.2</v>
      </c>
      <c r="BJ49" s="22">
        <v>6.11</v>
      </c>
      <c r="BK49" s="22">
        <v>1.66</v>
      </c>
      <c r="BL49" s="17" t="s">
        <v>33</v>
      </c>
      <c r="BM49" s="13" t="e">
        <f>VLOOKUP($BL$45,$AX$45:$BK$124,5)</f>
        <v>#REF!</v>
      </c>
    </row>
    <row r="50" spans="1:65" ht="22.5">
      <c r="A50" s="22">
        <v>6</v>
      </c>
      <c r="B50" s="22" t="s">
        <v>65</v>
      </c>
      <c r="C50" s="22">
        <v>75</v>
      </c>
      <c r="D50" s="22">
        <v>45</v>
      </c>
      <c r="E50" s="23">
        <v>3.2</v>
      </c>
      <c r="F50" s="23">
        <v>5.5</v>
      </c>
      <c r="G50" s="23">
        <v>7.007</v>
      </c>
      <c r="H50" s="23">
        <v>50.77</v>
      </c>
      <c r="I50" s="23">
        <v>22.81</v>
      </c>
      <c r="J50" s="23">
        <v>13.54</v>
      </c>
      <c r="K50" s="23">
        <v>6.08</v>
      </c>
      <c r="L50" s="23">
        <v>2.69</v>
      </c>
      <c r="M50" s="23">
        <v>1.8</v>
      </c>
      <c r="N50" s="17" t="s">
        <v>38</v>
      </c>
      <c r="O50" s="13" t="e">
        <f>VLOOKUP($N$45,$A$45:$M$64,6)</f>
        <v>#REF!</v>
      </c>
      <c r="P50" s="22">
        <v>6</v>
      </c>
      <c r="Q50" s="22" t="s">
        <v>67</v>
      </c>
      <c r="R50" s="22">
        <v>180</v>
      </c>
      <c r="S50" s="22">
        <v>75</v>
      </c>
      <c r="T50" s="22">
        <v>7</v>
      </c>
      <c r="U50" s="22">
        <v>10.5</v>
      </c>
      <c r="V50" s="22">
        <v>21.4</v>
      </c>
      <c r="W50" s="22">
        <v>27.2</v>
      </c>
      <c r="X50" s="22">
        <v>1380</v>
      </c>
      <c r="Y50" s="22">
        <v>137</v>
      </c>
      <c r="Z50" s="22">
        <v>154</v>
      </c>
      <c r="AA50" s="22">
        <v>25.5</v>
      </c>
      <c r="AB50" s="38">
        <v>7.13</v>
      </c>
      <c r="AC50" s="38">
        <v>2.24</v>
      </c>
      <c r="AD50" s="17" t="s">
        <v>38</v>
      </c>
      <c r="AE50" s="13" t="e">
        <f>VLOOKUP($AD$45,$P$45:$AC$61,7)</f>
        <v>#REF!</v>
      </c>
      <c r="AG50" s="18"/>
      <c r="AH50" s="35">
        <v>6</v>
      </c>
      <c r="AI50" s="18" t="s">
        <v>68</v>
      </c>
      <c r="AJ50" s="18">
        <v>180</v>
      </c>
      <c r="AK50" s="18">
        <v>82</v>
      </c>
      <c r="AL50" s="36">
        <v>6.9</v>
      </c>
      <c r="AM50" s="36">
        <v>10.4</v>
      </c>
      <c r="AN50" s="36">
        <v>21.9</v>
      </c>
      <c r="AO50" s="36">
        <v>27.9</v>
      </c>
      <c r="AP50" s="36">
        <v>1450</v>
      </c>
      <c r="AQ50" s="36">
        <v>81.3</v>
      </c>
      <c r="AR50" s="36">
        <v>161</v>
      </c>
      <c r="AS50" s="36">
        <v>19.8</v>
      </c>
      <c r="AT50" s="36">
        <v>7.2</v>
      </c>
      <c r="AU50" s="37">
        <v>1.71</v>
      </c>
      <c r="AV50" s="17" t="s">
        <v>35</v>
      </c>
      <c r="AW50" s="13" t="e">
        <f>VLOOKUP($AV$45,$AH$45:$AU$67,6)</f>
        <v>#REF!</v>
      </c>
      <c r="AX50" s="22">
        <v>6</v>
      </c>
      <c r="AY50" s="22" t="s">
        <v>69</v>
      </c>
      <c r="AZ50" s="22">
        <v>150</v>
      </c>
      <c r="BA50" s="22">
        <v>100</v>
      </c>
      <c r="BB50" s="22">
        <v>6</v>
      </c>
      <c r="BC50" s="22">
        <v>9</v>
      </c>
      <c r="BD50" s="22">
        <v>21.1</v>
      </c>
      <c r="BE50" s="22">
        <v>26.84</v>
      </c>
      <c r="BF50" s="22">
        <v>1020</v>
      </c>
      <c r="BG50" s="22">
        <v>151</v>
      </c>
      <c r="BH50" s="22">
        <v>138</v>
      </c>
      <c r="BI50" s="22">
        <v>30.1</v>
      </c>
      <c r="BJ50" s="22">
        <v>6.71</v>
      </c>
      <c r="BK50" s="22">
        <v>2.37</v>
      </c>
      <c r="BL50" s="17" t="s">
        <v>35</v>
      </c>
      <c r="BM50" s="13" t="e">
        <f>VLOOKUP($BL$45,$AX$45:$BK$124,6)</f>
        <v>#REF!</v>
      </c>
    </row>
    <row r="51" spans="1:65" ht="22.5">
      <c r="A51" s="22">
        <v>7</v>
      </c>
      <c r="B51" s="22" t="s">
        <v>70</v>
      </c>
      <c r="C51" s="22">
        <v>90</v>
      </c>
      <c r="D51" s="22">
        <v>45</v>
      </c>
      <c r="E51" s="23">
        <v>2.3</v>
      </c>
      <c r="F51" s="23">
        <v>4.6</v>
      </c>
      <c r="G51" s="23">
        <v>5.862</v>
      </c>
      <c r="H51" s="23">
        <v>60.98</v>
      </c>
      <c r="I51" s="23">
        <v>20.75</v>
      </c>
      <c r="J51" s="23">
        <v>13.55</v>
      </c>
      <c r="K51" s="23">
        <v>4.61</v>
      </c>
      <c r="L51" s="23">
        <v>3.23</v>
      </c>
      <c r="M51" s="23">
        <v>1.88</v>
      </c>
      <c r="N51" s="17" t="s">
        <v>25</v>
      </c>
      <c r="O51" s="13" t="e">
        <f>VLOOKUP($N$45,$A$45:$M$64,10)</f>
        <v>#REF!</v>
      </c>
      <c r="P51" s="22">
        <v>7</v>
      </c>
      <c r="Q51" s="22" t="s">
        <v>71</v>
      </c>
      <c r="R51" s="22">
        <v>200</v>
      </c>
      <c r="S51" s="22">
        <v>70</v>
      </c>
      <c r="T51" s="22">
        <v>7</v>
      </c>
      <c r="U51" s="22">
        <v>10</v>
      </c>
      <c r="V51" s="22">
        <v>21.1</v>
      </c>
      <c r="W51" s="22">
        <v>26.92</v>
      </c>
      <c r="X51" s="22">
        <v>1620</v>
      </c>
      <c r="Y51" s="22">
        <v>113</v>
      </c>
      <c r="Z51" s="22">
        <v>162</v>
      </c>
      <c r="AA51" s="22">
        <v>21.8</v>
      </c>
      <c r="AB51" s="38">
        <v>7.77</v>
      </c>
      <c r="AC51" s="38">
        <v>2.04</v>
      </c>
      <c r="AD51" s="17" t="s">
        <v>25</v>
      </c>
      <c r="AE51" s="13" t="e">
        <f>VLOOKUP($AD$45,$P$45:$AC$61,11)</f>
        <v>#REF!</v>
      </c>
      <c r="AG51" s="18"/>
      <c r="AH51" s="35">
        <v>7</v>
      </c>
      <c r="AI51" s="18" t="s">
        <v>72</v>
      </c>
      <c r="AJ51" s="18">
        <v>200</v>
      </c>
      <c r="AK51" s="18">
        <v>90</v>
      </c>
      <c r="AL51" s="36">
        <v>7.5</v>
      </c>
      <c r="AM51" s="36">
        <v>11.3</v>
      </c>
      <c r="AN51" s="36">
        <v>26.2</v>
      </c>
      <c r="AO51" s="36">
        <v>33.4</v>
      </c>
      <c r="AP51" s="36">
        <v>2140</v>
      </c>
      <c r="AQ51" s="36">
        <v>117</v>
      </c>
      <c r="AR51" s="36">
        <v>214</v>
      </c>
      <c r="AS51" s="36">
        <v>26</v>
      </c>
      <c r="AT51" s="36">
        <v>8</v>
      </c>
      <c r="AU51" s="37">
        <v>1.87</v>
      </c>
      <c r="AV51" s="17" t="s">
        <v>38</v>
      </c>
      <c r="AW51" s="13" t="e">
        <f>VLOOKUP($AV$45,$AH$45:$AU$67,7)</f>
        <v>#REF!</v>
      </c>
      <c r="AX51" s="22">
        <v>7</v>
      </c>
      <c r="AY51" s="22" t="s">
        <v>73</v>
      </c>
      <c r="AZ51" s="22">
        <v>150</v>
      </c>
      <c r="BA51" s="22">
        <v>150</v>
      </c>
      <c r="BB51" s="22">
        <v>7</v>
      </c>
      <c r="BC51" s="22">
        <v>10</v>
      </c>
      <c r="BD51" s="22">
        <v>31.5</v>
      </c>
      <c r="BE51" s="22">
        <v>40.14</v>
      </c>
      <c r="BF51" s="22">
        <v>1640</v>
      </c>
      <c r="BG51" s="22">
        <v>563</v>
      </c>
      <c r="BH51" s="22">
        <v>219</v>
      </c>
      <c r="BI51" s="22">
        <v>75.1</v>
      </c>
      <c r="BJ51" s="22">
        <v>6.39</v>
      </c>
      <c r="BK51" s="22">
        <v>3.75</v>
      </c>
      <c r="BL51" s="17" t="s">
        <v>38</v>
      </c>
      <c r="BM51" s="13" t="e">
        <f>VLOOKUP($BL$45,$AX$45:$BK$124,7)</f>
        <v>#REF!</v>
      </c>
    </row>
    <row r="52" spans="1:65" ht="22.5">
      <c r="A52" s="22">
        <v>8</v>
      </c>
      <c r="B52" s="22" t="s">
        <v>70</v>
      </c>
      <c r="C52" s="22">
        <v>90</v>
      </c>
      <c r="D52" s="22">
        <v>45</v>
      </c>
      <c r="E52" s="23">
        <v>3.2</v>
      </c>
      <c r="F52" s="23">
        <v>6.25</v>
      </c>
      <c r="G52" s="23">
        <v>7.967</v>
      </c>
      <c r="H52" s="23">
        <v>80.24</v>
      </c>
      <c r="I52" s="23">
        <v>27.01</v>
      </c>
      <c r="J52" s="23">
        <v>17.83</v>
      </c>
      <c r="K52" s="23">
        <v>6</v>
      </c>
      <c r="L52" s="23">
        <v>3.17</v>
      </c>
      <c r="M52" s="23">
        <v>1.84</v>
      </c>
      <c r="N52" s="17" t="s">
        <v>26</v>
      </c>
      <c r="O52" s="13" t="e">
        <f>VLOOKUP($N$45,$A$45:$M$64,11)</f>
        <v>#REF!</v>
      </c>
      <c r="P52" s="22">
        <v>8</v>
      </c>
      <c r="Q52" s="22" t="s">
        <v>74</v>
      </c>
      <c r="R52" s="22">
        <v>200</v>
      </c>
      <c r="S52" s="22">
        <v>80</v>
      </c>
      <c r="T52" s="22">
        <v>7.5</v>
      </c>
      <c r="U52" s="22">
        <v>11</v>
      </c>
      <c r="V52" s="22">
        <v>24.6</v>
      </c>
      <c r="W52" s="22">
        <v>31.33</v>
      </c>
      <c r="X52" s="22">
        <v>1950</v>
      </c>
      <c r="Y52" s="22">
        <v>177</v>
      </c>
      <c r="Z52" s="22">
        <v>195</v>
      </c>
      <c r="AA52" s="22">
        <v>30.8</v>
      </c>
      <c r="AB52" s="38">
        <v>7.89</v>
      </c>
      <c r="AC52" s="38">
        <v>2.38</v>
      </c>
      <c r="AD52" s="17" t="s">
        <v>26</v>
      </c>
      <c r="AE52" s="13" t="e">
        <f>VLOOKUP($AD$45,$P$45:$AC$61,12)</f>
        <v>#REF!</v>
      </c>
      <c r="AG52" s="18"/>
      <c r="AH52" s="35">
        <v>8</v>
      </c>
      <c r="AI52" s="18" t="s">
        <v>75</v>
      </c>
      <c r="AJ52" s="18">
        <v>220</v>
      </c>
      <c r="AK52" s="18">
        <v>98</v>
      </c>
      <c r="AL52" s="36">
        <v>8.1</v>
      </c>
      <c r="AM52" s="36">
        <v>12.2</v>
      </c>
      <c r="AN52" s="36">
        <v>31.1</v>
      </c>
      <c r="AO52" s="36">
        <v>39.5</v>
      </c>
      <c r="AP52" s="36">
        <v>3060</v>
      </c>
      <c r="AQ52" s="36">
        <v>162</v>
      </c>
      <c r="AR52" s="36">
        <v>278</v>
      </c>
      <c r="AS52" s="36">
        <v>33.1</v>
      </c>
      <c r="AT52" s="36">
        <v>8.8</v>
      </c>
      <c r="AU52" s="37">
        <v>2.02</v>
      </c>
      <c r="AV52" s="17" t="s">
        <v>36</v>
      </c>
      <c r="AW52" s="13" t="e">
        <f>VLOOKUP($AV$45,$AH$45:$AU$67,8)</f>
        <v>#REF!</v>
      </c>
      <c r="AX52" s="22">
        <v>8</v>
      </c>
      <c r="AY52" s="22" t="s">
        <v>76</v>
      </c>
      <c r="AZ52" s="22">
        <v>175</v>
      </c>
      <c r="BA52" s="22">
        <v>125</v>
      </c>
      <c r="BB52" s="22">
        <v>5.5</v>
      </c>
      <c r="BC52" s="22">
        <v>8</v>
      </c>
      <c r="BD52" s="22">
        <v>23.3</v>
      </c>
      <c r="BE52" s="22">
        <v>29.65</v>
      </c>
      <c r="BF52" s="22">
        <v>1530</v>
      </c>
      <c r="BG52" s="22">
        <v>261</v>
      </c>
      <c r="BH52" s="22">
        <v>181</v>
      </c>
      <c r="BI52" s="22">
        <v>41.8</v>
      </c>
      <c r="BJ52" s="22">
        <v>7.18</v>
      </c>
      <c r="BK52" s="22">
        <v>2.97</v>
      </c>
      <c r="BL52" s="17" t="s">
        <v>36</v>
      </c>
      <c r="BM52" s="13" t="e">
        <f>VLOOKUP($BL$45,$AX$45:$BK$124,8)</f>
        <v>#REF!</v>
      </c>
    </row>
    <row r="53" spans="1:65" ht="22.5">
      <c r="A53" s="22">
        <v>9</v>
      </c>
      <c r="B53" s="22" t="s">
        <v>56</v>
      </c>
      <c r="C53" s="22">
        <v>100</v>
      </c>
      <c r="D53" s="22">
        <v>50</v>
      </c>
      <c r="E53" s="23">
        <v>2.3</v>
      </c>
      <c r="F53" s="23">
        <v>5.14</v>
      </c>
      <c r="G53" s="23">
        <v>6.552</v>
      </c>
      <c r="H53" s="23">
        <v>84.83</v>
      </c>
      <c r="I53" s="23">
        <v>28.95</v>
      </c>
      <c r="J53" s="23">
        <v>16.97</v>
      </c>
      <c r="K53" s="23">
        <v>5.79</v>
      </c>
      <c r="L53" s="23">
        <v>3.6</v>
      </c>
      <c r="M53" s="23">
        <v>2.1</v>
      </c>
      <c r="N53" s="17" t="s">
        <v>23</v>
      </c>
      <c r="O53" s="13" t="e">
        <f>VLOOKUP($N$45,$A$45:$M$64,8)</f>
        <v>#REF!</v>
      </c>
      <c r="P53" s="22">
        <v>9</v>
      </c>
      <c r="Q53" s="22" t="s">
        <v>72</v>
      </c>
      <c r="R53" s="22">
        <v>200</v>
      </c>
      <c r="S53" s="22">
        <v>90</v>
      </c>
      <c r="T53" s="22">
        <v>8</v>
      </c>
      <c r="U53" s="22">
        <v>13.5</v>
      </c>
      <c r="V53" s="22">
        <v>30.3</v>
      </c>
      <c r="W53" s="22">
        <v>38.65</v>
      </c>
      <c r="X53" s="22">
        <v>2490</v>
      </c>
      <c r="Y53" s="22">
        <v>286</v>
      </c>
      <c r="Z53" s="22">
        <v>249</v>
      </c>
      <c r="AA53" s="22">
        <v>45.9</v>
      </c>
      <c r="AB53" s="38">
        <v>8.03</v>
      </c>
      <c r="AC53" s="38">
        <v>2.72</v>
      </c>
      <c r="AD53" s="17" t="s">
        <v>23</v>
      </c>
      <c r="AE53" s="13" t="e">
        <f>VLOOKUP($AD$45,$P$45:$AC$61,9)</f>
        <v>#REF!</v>
      </c>
      <c r="AG53" s="18"/>
      <c r="AH53" s="35">
        <v>9</v>
      </c>
      <c r="AI53" s="18" t="s">
        <v>77</v>
      </c>
      <c r="AJ53" s="18">
        <v>240</v>
      </c>
      <c r="AK53" s="18">
        <v>106</v>
      </c>
      <c r="AL53" s="36">
        <v>8.7</v>
      </c>
      <c r="AM53" s="36">
        <v>10.1</v>
      </c>
      <c r="AN53" s="36">
        <v>36.2</v>
      </c>
      <c r="AO53" s="36">
        <v>46.1</v>
      </c>
      <c r="AP53" s="36">
        <v>4260</v>
      </c>
      <c r="AQ53" s="36">
        <v>221</v>
      </c>
      <c r="AR53" s="36">
        <v>354</v>
      </c>
      <c r="AS53" s="36">
        <v>41.7</v>
      </c>
      <c r="AT53" s="36">
        <v>9.59</v>
      </c>
      <c r="AU53" s="37">
        <v>2.2</v>
      </c>
      <c r="AV53" s="17" t="s">
        <v>25</v>
      </c>
      <c r="AW53" s="13" t="e">
        <f>VLOOKUP($AV$45,$AH$45:$AU$67,11)</f>
        <v>#REF!</v>
      </c>
      <c r="AX53" s="22">
        <v>9</v>
      </c>
      <c r="AY53" s="22" t="s">
        <v>78</v>
      </c>
      <c r="AZ53" s="22">
        <v>175</v>
      </c>
      <c r="BA53" s="22">
        <v>175</v>
      </c>
      <c r="BB53" s="22">
        <v>7.5</v>
      </c>
      <c r="BC53" s="22">
        <v>11</v>
      </c>
      <c r="BD53" s="22">
        <v>40.2</v>
      </c>
      <c r="BE53" s="22">
        <v>51.21</v>
      </c>
      <c r="BF53" s="22">
        <v>2880</v>
      </c>
      <c r="BG53" s="22">
        <v>984</v>
      </c>
      <c r="BH53" s="22">
        <v>330</v>
      </c>
      <c r="BI53" s="22">
        <v>112</v>
      </c>
      <c r="BJ53" s="22">
        <v>7.5</v>
      </c>
      <c r="BK53" s="22">
        <v>4.38</v>
      </c>
      <c r="BL53" s="17" t="s">
        <v>25</v>
      </c>
      <c r="BM53" s="13" t="e">
        <f>VLOOKUP($BL$45,$AX$45:$BK$124,11)</f>
        <v>#REF!</v>
      </c>
    </row>
    <row r="54" spans="1:65" ht="22.5">
      <c r="A54" s="22">
        <v>10</v>
      </c>
      <c r="B54" s="22" t="s">
        <v>56</v>
      </c>
      <c r="C54" s="22">
        <v>100</v>
      </c>
      <c r="D54" s="22">
        <v>50</v>
      </c>
      <c r="E54" s="23">
        <v>3.2</v>
      </c>
      <c r="F54" s="23">
        <v>7.01</v>
      </c>
      <c r="G54" s="23">
        <v>8.927</v>
      </c>
      <c r="H54" s="23">
        <v>112.29</v>
      </c>
      <c r="I54" s="23">
        <v>37.95</v>
      </c>
      <c r="J54" s="23">
        <v>22.46</v>
      </c>
      <c r="K54" s="23">
        <v>7.59</v>
      </c>
      <c r="L54" s="23">
        <v>3.55</v>
      </c>
      <c r="M54" s="23">
        <v>2.06</v>
      </c>
      <c r="N54" s="17" t="s">
        <v>24</v>
      </c>
      <c r="O54" s="13" t="e">
        <f>VLOOKUP($N$45,$A$45:$M$64,9)</f>
        <v>#REF!</v>
      </c>
      <c r="P54" s="22">
        <v>10</v>
      </c>
      <c r="Q54" s="22" t="s">
        <v>79</v>
      </c>
      <c r="R54" s="22">
        <v>250</v>
      </c>
      <c r="S54" s="22">
        <v>90</v>
      </c>
      <c r="T54" s="22">
        <v>9</v>
      </c>
      <c r="U54" s="22">
        <v>13</v>
      </c>
      <c r="V54" s="22">
        <v>34.6</v>
      </c>
      <c r="W54" s="22">
        <v>44.07</v>
      </c>
      <c r="X54" s="22">
        <v>4180</v>
      </c>
      <c r="Y54" s="22">
        <v>306</v>
      </c>
      <c r="Z54" s="22">
        <v>335</v>
      </c>
      <c r="AA54" s="22">
        <v>46.5</v>
      </c>
      <c r="AB54" s="38">
        <v>9.74</v>
      </c>
      <c r="AC54" s="38">
        <v>2.64</v>
      </c>
      <c r="AD54" s="17" t="s">
        <v>24</v>
      </c>
      <c r="AE54" s="13" t="e">
        <f>VLOOKUP($AD$45,$P$45:$AC$61,10)</f>
        <v>#REF!</v>
      </c>
      <c r="AG54" s="18"/>
      <c r="AH54" s="35">
        <v>10</v>
      </c>
      <c r="AI54" s="18" t="s">
        <v>80</v>
      </c>
      <c r="AJ54" s="18">
        <v>260</v>
      </c>
      <c r="AK54" s="18">
        <v>113</v>
      </c>
      <c r="AL54" s="36">
        <v>9.4</v>
      </c>
      <c r="AM54" s="36">
        <v>14.1</v>
      </c>
      <c r="AN54" s="36">
        <v>41.9</v>
      </c>
      <c r="AO54" s="36">
        <v>53.3</v>
      </c>
      <c r="AP54" s="36">
        <v>5740</v>
      </c>
      <c r="AQ54" s="36">
        <v>288</v>
      </c>
      <c r="AR54" s="36">
        <v>442</v>
      </c>
      <c r="AS54" s="36">
        <v>51</v>
      </c>
      <c r="AT54" s="36">
        <v>10.4</v>
      </c>
      <c r="AU54" s="37">
        <v>2.32</v>
      </c>
      <c r="AV54" s="17" t="s">
        <v>26</v>
      </c>
      <c r="AW54" s="13" t="e">
        <f>VLOOKUP($AV$45,$AH$45:$AU$67,12)</f>
        <v>#REF!</v>
      </c>
      <c r="AX54" s="22">
        <v>10</v>
      </c>
      <c r="AY54" s="22" t="s">
        <v>81</v>
      </c>
      <c r="AZ54" s="22">
        <v>200</v>
      </c>
      <c r="BA54" s="22">
        <v>100</v>
      </c>
      <c r="BB54" s="22">
        <v>4.5</v>
      </c>
      <c r="BC54" s="22">
        <v>7</v>
      </c>
      <c r="BD54" s="22">
        <v>18.2</v>
      </c>
      <c r="BE54" s="22">
        <v>23.18</v>
      </c>
      <c r="BF54" s="22">
        <v>1580</v>
      </c>
      <c r="BG54" s="22">
        <v>114</v>
      </c>
      <c r="BH54" s="22">
        <v>160</v>
      </c>
      <c r="BI54" s="22">
        <v>23</v>
      </c>
      <c r="BJ54" s="22">
        <v>8.26</v>
      </c>
      <c r="BK54" s="22">
        <v>2.21</v>
      </c>
      <c r="BL54" s="17" t="s">
        <v>26</v>
      </c>
      <c r="BM54" s="13" t="e">
        <f>VLOOKUP($BL$45,$AX$45:$BK$124,12)</f>
        <v>#REF!</v>
      </c>
    </row>
    <row r="55" spans="1:65" ht="22.5">
      <c r="A55" s="22">
        <v>11</v>
      </c>
      <c r="B55" s="22" t="s">
        <v>82</v>
      </c>
      <c r="C55" s="22">
        <v>125</v>
      </c>
      <c r="D55" s="22">
        <v>40</v>
      </c>
      <c r="E55" s="23">
        <v>2.3</v>
      </c>
      <c r="F55" s="23">
        <v>5.69</v>
      </c>
      <c r="G55" s="23">
        <v>7.242</v>
      </c>
      <c r="H55" s="23">
        <v>130.92</v>
      </c>
      <c r="I55" s="23">
        <v>21.64</v>
      </c>
      <c r="J55" s="23">
        <v>20.95</v>
      </c>
      <c r="K55" s="23">
        <v>3.46</v>
      </c>
      <c r="L55" s="23">
        <v>4.25</v>
      </c>
      <c r="M55" s="23">
        <v>1.73</v>
      </c>
      <c r="N55" s="17" t="s">
        <v>8</v>
      </c>
      <c r="O55" s="13" t="e">
        <f>VLOOKUP($N$45,$A$45:$M$64,12)</f>
        <v>#REF!</v>
      </c>
      <c r="P55" s="22">
        <v>11</v>
      </c>
      <c r="Q55" s="22" t="s">
        <v>79</v>
      </c>
      <c r="R55" s="22">
        <v>250</v>
      </c>
      <c r="S55" s="22">
        <v>90</v>
      </c>
      <c r="T55" s="22">
        <v>11</v>
      </c>
      <c r="U55" s="22">
        <v>14.5</v>
      </c>
      <c r="V55" s="22">
        <v>40.2</v>
      </c>
      <c r="W55" s="22">
        <v>51.17</v>
      </c>
      <c r="X55" s="22">
        <v>4690</v>
      </c>
      <c r="Y55" s="22">
        <v>342</v>
      </c>
      <c r="Z55" s="22">
        <v>375</v>
      </c>
      <c r="AA55" s="22">
        <v>51.7</v>
      </c>
      <c r="AB55" s="38">
        <v>9.57</v>
      </c>
      <c r="AC55" s="38">
        <v>2.58</v>
      </c>
      <c r="AD55" s="17" t="s">
        <v>8</v>
      </c>
      <c r="AE55" s="13" t="e">
        <f>VLOOKUP($AD$45,$P$45:$AC$61,13)</f>
        <v>#REF!</v>
      </c>
      <c r="AG55" s="18"/>
      <c r="AH55" s="35">
        <v>11</v>
      </c>
      <c r="AI55" s="18" t="s">
        <v>83</v>
      </c>
      <c r="AJ55" s="18">
        <v>280</v>
      </c>
      <c r="AK55" s="18">
        <v>119</v>
      </c>
      <c r="AL55" s="36">
        <v>10.1</v>
      </c>
      <c r="AM55" s="36">
        <v>15.2</v>
      </c>
      <c r="AN55" s="36">
        <v>47.9</v>
      </c>
      <c r="AO55" s="36">
        <v>61</v>
      </c>
      <c r="AP55" s="36">
        <v>7500</v>
      </c>
      <c r="AQ55" s="36">
        <v>364</v>
      </c>
      <c r="AR55" s="36">
        <v>542</v>
      </c>
      <c r="AS55" s="36">
        <v>61.2</v>
      </c>
      <c r="AT55" s="36">
        <v>11.1</v>
      </c>
      <c r="AU55" s="37">
        <v>2.45</v>
      </c>
      <c r="AV55" s="17" t="s">
        <v>23</v>
      </c>
      <c r="AW55" s="13" t="e">
        <f>VLOOKUP($AV$45,$AH$45:$AU$67,9)</f>
        <v>#REF!</v>
      </c>
      <c r="AX55" s="22">
        <v>11</v>
      </c>
      <c r="AY55" s="22" t="s">
        <v>81</v>
      </c>
      <c r="AZ55" s="22">
        <v>200</v>
      </c>
      <c r="BA55" s="22">
        <v>100</v>
      </c>
      <c r="BB55" s="22">
        <v>5.5</v>
      </c>
      <c r="BC55" s="22">
        <v>8</v>
      </c>
      <c r="BD55" s="22">
        <v>21.3</v>
      </c>
      <c r="BE55" s="22">
        <v>27.16</v>
      </c>
      <c r="BF55" s="22">
        <v>1840</v>
      </c>
      <c r="BG55" s="22">
        <v>134</v>
      </c>
      <c r="BH55" s="22">
        <v>184</v>
      </c>
      <c r="BI55" s="22">
        <v>26.8</v>
      </c>
      <c r="BJ55" s="22">
        <v>8.24</v>
      </c>
      <c r="BK55" s="22">
        <v>2.22</v>
      </c>
      <c r="BL55" s="17" t="s">
        <v>23</v>
      </c>
      <c r="BM55" s="13" t="e">
        <f>VLOOKUP($BL$45,$AX$45:$BK$124,9)</f>
        <v>#REF!</v>
      </c>
    </row>
    <row r="56" spans="1:65" ht="22.5">
      <c r="A56" s="22">
        <v>12</v>
      </c>
      <c r="B56" s="22" t="s">
        <v>82</v>
      </c>
      <c r="C56" s="22">
        <v>125</v>
      </c>
      <c r="D56" s="22">
        <v>40</v>
      </c>
      <c r="E56" s="23">
        <v>3.2</v>
      </c>
      <c r="F56" s="23">
        <v>7.76</v>
      </c>
      <c r="G56" s="23">
        <v>9.887</v>
      </c>
      <c r="H56" s="23">
        <v>173.84</v>
      </c>
      <c r="I56" s="23">
        <v>28.19</v>
      </c>
      <c r="J56" s="23">
        <v>27.81</v>
      </c>
      <c r="K56" s="23">
        <v>4.51</v>
      </c>
      <c r="L56" s="23">
        <v>4.19</v>
      </c>
      <c r="M56" s="23">
        <v>1.69</v>
      </c>
      <c r="N56" s="17" t="s">
        <v>10</v>
      </c>
      <c r="O56" s="13" t="e">
        <f>VLOOKUP($N$45,$A$45:$M$64,13)</f>
        <v>#REF!</v>
      </c>
      <c r="P56" s="22">
        <v>12</v>
      </c>
      <c r="Q56" s="22" t="s">
        <v>84</v>
      </c>
      <c r="R56" s="22">
        <v>300</v>
      </c>
      <c r="S56" s="22">
        <v>90</v>
      </c>
      <c r="T56" s="22">
        <v>9</v>
      </c>
      <c r="U56" s="22">
        <v>13</v>
      </c>
      <c r="V56" s="22">
        <v>38.1</v>
      </c>
      <c r="W56" s="22">
        <v>48.57</v>
      </c>
      <c r="X56" s="22">
        <v>6440</v>
      </c>
      <c r="Y56" s="22">
        <v>325</v>
      </c>
      <c r="Z56" s="22">
        <v>429</v>
      </c>
      <c r="AA56" s="22">
        <v>48</v>
      </c>
      <c r="AB56" s="38">
        <v>11.5</v>
      </c>
      <c r="AC56" s="38">
        <v>2.59</v>
      </c>
      <c r="AD56" s="17" t="s">
        <v>10</v>
      </c>
      <c r="AE56" s="13" t="e">
        <f>VLOOKUP($AD$45,$P$45:$AC$61,14)</f>
        <v>#REF!</v>
      </c>
      <c r="AG56" s="18"/>
      <c r="AH56" s="35">
        <v>12</v>
      </c>
      <c r="AI56" s="18" t="s">
        <v>85</v>
      </c>
      <c r="AJ56" s="18">
        <v>300</v>
      </c>
      <c r="AK56" s="18">
        <v>125</v>
      </c>
      <c r="AL56" s="36">
        <v>10.8</v>
      </c>
      <c r="AM56" s="36">
        <v>16.2</v>
      </c>
      <c r="AN56" s="36">
        <v>54.2</v>
      </c>
      <c r="AO56" s="36">
        <v>69</v>
      </c>
      <c r="AP56" s="36">
        <v>9800</v>
      </c>
      <c r="AQ56" s="36">
        <v>451</v>
      </c>
      <c r="AR56" s="36">
        <v>653</v>
      </c>
      <c r="AS56" s="36">
        <v>72.2</v>
      </c>
      <c r="AT56" s="36">
        <v>11.9</v>
      </c>
      <c r="AU56" s="37">
        <v>2.56</v>
      </c>
      <c r="AV56" s="17" t="s">
        <v>24</v>
      </c>
      <c r="AW56" s="13" t="e">
        <f>VLOOKUP($AV$45,$AH$45:$AU$67,10)</f>
        <v>#REF!</v>
      </c>
      <c r="AX56" s="22">
        <v>12</v>
      </c>
      <c r="AY56" s="22" t="s">
        <v>86</v>
      </c>
      <c r="AZ56" s="22">
        <v>200</v>
      </c>
      <c r="BA56" s="22">
        <v>150</v>
      </c>
      <c r="BB56" s="22">
        <v>6</v>
      </c>
      <c r="BC56" s="22">
        <v>9</v>
      </c>
      <c r="BD56" s="22">
        <v>30.6</v>
      </c>
      <c r="BE56" s="22">
        <v>39.01</v>
      </c>
      <c r="BF56" s="22">
        <v>2690</v>
      </c>
      <c r="BG56" s="22">
        <v>507</v>
      </c>
      <c r="BH56" s="22">
        <v>277</v>
      </c>
      <c r="BI56" s="22">
        <v>67.6</v>
      </c>
      <c r="BJ56" s="22">
        <v>8.3</v>
      </c>
      <c r="BK56" s="22">
        <v>3.61</v>
      </c>
      <c r="BL56" s="17" t="s">
        <v>24</v>
      </c>
      <c r="BM56" s="13" t="e">
        <f>VLOOKUP($BL$45,$AX$45:$BK$124,10)</f>
        <v>#REF!</v>
      </c>
    </row>
    <row r="57" spans="1:65" ht="22.5">
      <c r="A57" s="22">
        <v>13</v>
      </c>
      <c r="B57" s="22" t="s">
        <v>87</v>
      </c>
      <c r="C57" s="22">
        <v>125</v>
      </c>
      <c r="D57" s="22">
        <v>75</v>
      </c>
      <c r="E57" s="23">
        <v>3.2</v>
      </c>
      <c r="F57" s="23">
        <v>9.52</v>
      </c>
      <c r="G57" s="23">
        <v>12.127</v>
      </c>
      <c r="H57" s="23">
        <v>256.93</v>
      </c>
      <c r="I57" s="23">
        <v>116.8</v>
      </c>
      <c r="J57" s="23">
        <v>41.11</v>
      </c>
      <c r="K57" s="23">
        <v>18.69</v>
      </c>
      <c r="L57" s="23">
        <v>4.6</v>
      </c>
      <c r="M57" s="23">
        <v>3.1</v>
      </c>
      <c r="N57" s="17" t="s">
        <v>31</v>
      </c>
      <c r="O57" s="24" t="e">
        <f>#REF!&amp;#REF!&amp;" - "&amp;O46&amp;"*"&amp;O47&amp;" mm.("&amp;"น้ำหนัก = "&amp;O50&amp;" kg./m.)"</f>
        <v>#REF!</v>
      </c>
      <c r="P57" s="22">
        <v>13</v>
      </c>
      <c r="Q57" s="22" t="s">
        <v>84</v>
      </c>
      <c r="R57" s="22">
        <v>300</v>
      </c>
      <c r="S57" s="22">
        <v>90</v>
      </c>
      <c r="T57" s="22">
        <v>10</v>
      </c>
      <c r="U57" s="22">
        <v>15.5</v>
      </c>
      <c r="V57" s="22">
        <v>43.8</v>
      </c>
      <c r="W57" s="22">
        <v>55.74</v>
      </c>
      <c r="X57" s="22">
        <v>7440</v>
      </c>
      <c r="Y57" s="22">
        <v>373</v>
      </c>
      <c r="Z57" s="22">
        <v>494</v>
      </c>
      <c r="AA57" s="22">
        <v>56</v>
      </c>
      <c r="AB57" s="38">
        <v>11.5</v>
      </c>
      <c r="AC57" s="38">
        <v>2.59</v>
      </c>
      <c r="AD57" s="17" t="s">
        <v>31</v>
      </c>
      <c r="AE57" s="24" t="e">
        <f>#REF!&amp;#REF!&amp;" - "&amp;AE46&amp;"*"&amp;AE47&amp;"*"&amp;AE48&amp;" mm.("&amp;"น้ำหนัก = "&amp;AE50&amp;" kg./m.)"</f>
        <v>#REF!</v>
      </c>
      <c r="AG57" s="18"/>
      <c r="AH57" s="35">
        <v>13</v>
      </c>
      <c r="AI57" s="18" t="s">
        <v>88</v>
      </c>
      <c r="AJ57" s="18">
        <v>320</v>
      </c>
      <c r="AK57" s="18">
        <v>131</v>
      </c>
      <c r="AL57" s="36">
        <v>11.5</v>
      </c>
      <c r="AM57" s="36">
        <v>17.3</v>
      </c>
      <c r="AN57" s="36">
        <v>61</v>
      </c>
      <c r="AO57" s="36">
        <v>77.7</v>
      </c>
      <c r="AP57" s="36">
        <v>12510</v>
      </c>
      <c r="AQ57" s="36">
        <v>555</v>
      </c>
      <c r="AR57" s="36">
        <v>782</v>
      </c>
      <c r="AS57" s="36">
        <v>84.7</v>
      </c>
      <c r="AT57" s="36">
        <v>12.7</v>
      </c>
      <c r="AU57" s="37">
        <v>2.67</v>
      </c>
      <c r="AV57" s="17" t="s">
        <v>8</v>
      </c>
      <c r="AW57" s="13" t="e">
        <f>VLOOKUP($AV$45,$AH$45:$AU$67,13)</f>
        <v>#REF!</v>
      </c>
      <c r="AX57" s="22">
        <v>13</v>
      </c>
      <c r="AY57" s="22" t="s">
        <v>89</v>
      </c>
      <c r="AZ57" s="22">
        <v>200</v>
      </c>
      <c r="BA57" s="22">
        <v>200</v>
      </c>
      <c r="BB57" s="22">
        <v>8</v>
      </c>
      <c r="BC57" s="22">
        <v>12</v>
      </c>
      <c r="BD57" s="22">
        <v>49.9</v>
      </c>
      <c r="BE57" s="22">
        <v>63.53</v>
      </c>
      <c r="BF57" s="22">
        <v>4720</v>
      </c>
      <c r="BG57" s="22">
        <v>1600</v>
      </c>
      <c r="BH57" s="22">
        <v>472</v>
      </c>
      <c r="BI57" s="22">
        <v>160</v>
      </c>
      <c r="BJ57" s="22">
        <v>8.62</v>
      </c>
      <c r="BK57" s="22">
        <v>5.02</v>
      </c>
      <c r="BL57" s="17" t="s">
        <v>8</v>
      </c>
      <c r="BM57" s="13" t="e">
        <f>VLOOKUP($BL$45,$AX$45:$BK$124,13)</f>
        <v>#REF!</v>
      </c>
    </row>
    <row r="58" spans="1:65" ht="22.5">
      <c r="A58" s="22">
        <v>14</v>
      </c>
      <c r="B58" s="22" t="s">
        <v>87</v>
      </c>
      <c r="C58" s="22">
        <v>125</v>
      </c>
      <c r="D58" s="22">
        <v>75</v>
      </c>
      <c r="E58" s="23">
        <v>4</v>
      </c>
      <c r="F58" s="23">
        <v>11.73</v>
      </c>
      <c r="G58" s="23">
        <v>14.948</v>
      </c>
      <c r="H58" s="23">
        <v>310.76</v>
      </c>
      <c r="I58" s="23">
        <v>140.65</v>
      </c>
      <c r="J58" s="23">
        <v>49.72</v>
      </c>
      <c r="K58" s="23">
        <v>22.5</v>
      </c>
      <c r="L58" s="23">
        <v>4.56</v>
      </c>
      <c r="M58" s="23">
        <v>3.07</v>
      </c>
      <c r="N58" s="17" t="s">
        <v>4</v>
      </c>
      <c r="O58" s="13" t="e">
        <f>VLOOKUP($N$45,$A$45:$J$64,3)</f>
        <v>#REF!</v>
      </c>
      <c r="P58" s="22">
        <v>14</v>
      </c>
      <c r="Q58" s="22" t="s">
        <v>84</v>
      </c>
      <c r="R58" s="22">
        <v>300</v>
      </c>
      <c r="S58" s="22">
        <v>90</v>
      </c>
      <c r="T58" s="22">
        <v>12</v>
      </c>
      <c r="U58" s="22">
        <v>16</v>
      </c>
      <c r="V58" s="22">
        <v>48.6</v>
      </c>
      <c r="W58" s="22">
        <v>61.9</v>
      </c>
      <c r="X58" s="22">
        <v>7870</v>
      </c>
      <c r="Y58" s="22">
        <v>391</v>
      </c>
      <c r="Z58" s="22">
        <v>525</v>
      </c>
      <c r="AA58" s="22">
        <v>57.9</v>
      </c>
      <c r="AB58" s="38">
        <v>11.3</v>
      </c>
      <c r="AC58" s="38">
        <v>2.51</v>
      </c>
      <c r="AD58" s="17"/>
      <c r="AE58" s="13"/>
      <c r="AG58" s="18"/>
      <c r="AH58" s="35">
        <v>14</v>
      </c>
      <c r="AI58" s="18" t="s">
        <v>90</v>
      </c>
      <c r="AJ58" s="18">
        <v>340</v>
      </c>
      <c r="AK58" s="18">
        <v>137</v>
      </c>
      <c r="AL58" s="36">
        <v>12.2</v>
      </c>
      <c r="AM58" s="36">
        <v>18.3</v>
      </c>
      <c r="AN58" s="36">
        <v>68</v>
      </c>
      <c r="AO58" s="36">
        <v>86.7</v>
      </c>
      <c r="AP58" s="36">
        <v>15700</v>
      </c>
      <c r="AQ58" s="36">
        <v>674</v>
      </c>
      <c r="AR58" s="36">
        <v>923</v>
      </c>
      <c r="AS58" s="36">
        <v>98.4</v>
      </c>
      <c r="AT58" s="36">
        <v>13.5</v>
      </c>
      <c r="AU58" s="37">
        <v>2.8</v>
      </c>
      <c r="AV58" s="17" t="s">
        <v>10</v>
      </c>
      <c r="AW58" s="13" t="e">
        <f>VLOOKUP($AV$45,$AH$45:$AU$67,14)</f>
        <v>#REF!</v>
      </c>
      <c r="AX58" s="22">
        <v>14</v>
      </c>
      <c r="AY58" s="22" t="s">
        <v>89</v>
      </c>
      <c r="AZ58" s="22">
        <v>200</v>
      </c>
      <c r="BA58" s="22">
        <v>200</v>
      </c>
      <c r="BB58" s="22">
        <v>12</v>
      </c>
      <c r="BC58" s="22">
        <v>12</v>
      </c>
      <c r="BD58" s="22">
        <v>56.2</v>
      </c>
      <c r="BE58" s="22">
        <v>71.53</v>
      </c>
      <c r="BF58" s="22">
        <v>4980</v>
      </c>
      <c r="BG58" s="22">
        <v>1700</v>
      </c>
      <c r="BH58" s="22">
        <v>498</v>
      </c>
      <c r="BI58" s="22">
        <v>167</v>
      </c>
      <c r="BJ58" s="22">
        <v>8.35</v>
      </c>
      <c r="BK58" s="22">
        <v>4.88</v>
      </c>
      <c r="BL58" s="17" t="s">
        <v>10</v>
      </c>
      <c r="BM58" s="13" t="e">
        <f>VLOOKUP($BL$45,$AX$45:$BK$124,14)</f>
        <v>#REF!</v>
      </c>
    </row>
    <row r="59" spans="1:65" ht="22.5">
      <c r="A59" s="22">
        <v>15</v>
      </c>
      <c r="B59" s="22" t="s">
        <v>91</v>
      </c>
      <c r="C59" s="22">
        <v>150</v>
      </c>
      <c r="D59" s="22">
        <v>80</v>
      </c>
      <c r="E59" s="23">
        <v>4.5</v>
      </c>
      <c r="F59" s="23">
        <v>15.2</v>
      </c>
      <c r="G59" s="23">
        <v>19.369</v>
      </c>
      <c r="H59" s="23">
        <v>562.76</v>
      </c>
      <c r="I59" s="23">
        <v>211.47</v>
      </c>
      <c r="J59" s="23">
        <v>75.03</v>
      </c>
      <c r="K59" s="23">
        <v>28.2</v>
      </c>
      <c r="L59" s="23">
        <v>5.39</v>
      </c>
      <c r="M59" s="23">
        <v>3.3</v>
      </c>
      <c r="N59" s="17" t="s">
        <v>6</v>
      </c>
      <c r="O59" s="13" t="e">
        <f>VLOOKUP($N$45,$A$45:$J$64,4)</f>
        <v>#REF!</v>
      </c>
      <c r="P59" s="22">
        <v>15</v>
      </c>
      <c r="Q59" s="22" t="s">
        <v>92</v>
      </c>
      <c r="R59" s="22">
        <v>380</v>
      </c>
      <c r="S59" s="22">
        <v>100</v>
      </c>
      <c r="T59" s="22">
        <v>10.5</v>
      </c>
      <c r="U59" s="22">
        <v>16</v>
      </c>
      <c r="V59" s="22">
        <v>54.5</v>
      </c>
      <c r="W59" s="22">
        <v>69.39</v>
      </c>
      <c r="X59" s="22">
        <v>14500</v>
      </c>
      <c r="Y59" s="22">
        <v>557</v>
      </c>
      <c r="Z59" s="22">
        <v>762</v>
      </c>
      <c r="AA59" s="22">
        <v>73.3</v>
      </c>
      <c r="AB59" s="38">
        <v>14.5</v>
      </c>
      <c r="AC59" s="38">
        <v>2.83</v>
      </c>
      <c r="AD59" s="17"/>
      <c r="AE59" s="13"/>
      <c r="AG59" s="18"/>
      <c r="AH59" s="35">
        <v>15</v>
      </c>
      <c r="AI59" s="18" t="s">
        <v>93</v>
      </c>
      <c r="AJ59" s="18">
        <v>360</v>
      </c>
      <c r="AK59" s="18">
        <v>143</v>
      </c>
      <c r="AL59" s="36">
        <v>13</v>
      </c>
      <c r="AM59" s="36">
        <v>19.5</v>
      </c>
      <c r="AN59" s="36">
        <v>76.1</v>
      </c>
      <c r="AO59" s="36">
        <v>97</v>
      </c>
      <c r="AP59" s="36">
        <v>10610</v>
      </c>
      <c r="AQ59" s="36">
        <v>818</v>
      </c>
      <c r="AR59" s="36">
        <v>1090</v>
      </c>
      <c r="AS59" s="36">
        <v>114</v>
      </c>
      <c r="AT59" s="36">
        <v>14.2</v>
      </c>
      <c r="AU59" s="37">
        <v>2.9</v>
      </c>
      <c r="AV59" s="17" t="s">
        <v>31</v>
      </c>
      <c r="AW59" s="24" t="e">
        <f>#REF!&amp;#REF!&amp;" - "&amp;AW46&amp;"*"&amp;AW49&amp;"*"&amp;AW50&amp;" mm.("&amp;"น้ำหนัก = "&amp;AW51&amp;" kg./m.)"</f>
        <v>#REF!</v>
      </c>
      <c r="AX59" s="22">
        <v>15</v>
      </c>
      <c r="AY59" s="22" t="s">
        <v>89</v>
      </c>
      <c r="AZ59" s="22">
        <v>200</v>
      </c>
      <c r="BA59" s="22">
        <v>200</v>
      </c>
      <c r="BB59" s="22">
        <v>10</v>
      </c>
      <c r="BC59" s="22">
        <v>16</v>
      </c>
      <c r="BD59" s="22">
        <v>65.7</v>
      </c>
      <c r="BE59" s="22">
        <v>83.69</v>
      </c>
      <c r="BF59" s="22">
        <v>6530</v>
      </c>
      <c r="BG59" s="22">
        <v>2200</v>
      </c>
      <c r="BH59" s="22">
        <v>628</v>
      </c>
      <c r="BI59" s="22">
        <v>218</v>
      </c>
      <c r="BJ59" s="22">
        <v>8.83</v>
      </c>
      <c r="BK59" s="22">
        <v>5.13</v>
      </c>
      <c r="BL59" s="17" t="s">
        <v>31</v>
      </c>
      <c r="BM59" s="24" t="e">
        <f>#REF!&amp;#REF!&amp;" - "&amp;BM46&amp;"*"&amp;BM49&amp;"*"&amp;BM50&amp;" mm.("&amp;"Weight = "&amp;BM51&amp;" kg./m.)"</f>
        <v>#REF!</v>
      </c>
    </row>
    <row r="60" spans="1:63" ht="22.5">
      <c r="A60" s="22">
        <v>16</v>
      </c>
      <c r="B60" s="22" t="s">
        <v>91</v>
      </c>
      <c r="C60" s="22">
        <v>150</v>
      </c>
      <c r="D60" s="22">
        <v>80</v>
      </c>
      <c r="E60" s="23">
        <v>6</v>
      </c>
      <c r="F60" s="23">
        <v>19.81</v>
      </c>
      <c r="G60" s="23">
        <v>25.233</v>
      </c>
      <c r="H60" s="23">
        <v>710.2</v>
      </c>
      <c r="I60" s="23">
        <v>264.42</v>
      </c>
      <c r="J60" s="23">
        <v>94.69</v>
      </c>
      <c r="K60" s="23">
        <v>35.26</v>
      </c>
      <c r="L60" s="23">
        <v>5.31</v>
      </c>
      <c r="M60" s="23">
        <v>3.24</v>
      </c>
      <c r="N60" s="17" t="s">
        <v>5</v>
      </c>
      <c r="O60" s="13" t="s">
        <v>12</v>
      </c>
      <c r="P60" s="22">
        <v>16</v>
      </c>
      <c r="Q60" s="22" t="s">
        <v>92</v>
      </c>
      <c r="R60" s="22">
        <v>380</v>
      </c>
      <c r="S60" s="22">
        <v>100</v>
      </c>
      <c r="T60" s="22">
        <v>13</v>
      </c>
      <c r="U60" s="22">
        <v>16.5</v>
      </c>
      <c r="V60" s="22">
        <v>62</v>
      </c>
      <c r="W60" s="22">
        <v>78.96</v>
      </c>
      <c r="X60" s="22">
        <v>15600</v>
      </c>
      <c r="Y60" s="22">
        <v>584</v>
      </c>
      <c r="Z60" s="22">
        <v>822</v>
      </c>
      <c r="AA60" s="22">
        <v>75.8</v>
      </c>
      <c r="AB60" s="38">
        <v>14.1</v>
      </c>
      <c r="AC60" s="38">
        <v>2.72</v>
      </c>
      <c r="AD60" s="17"/>
      <c r="AE60" s="13"/>
      <c r="AG60" s="18"/>
      <c r="AH60" s="35">
        <v>16</v>
      </c>
      <c r="AI60" s="18" t="s">
        <v>94</v>
      </c>
      <c r="AJ60" s="18">
        <v>380</v>
      </c>
      <c r="AK60" s="18">
        <v>149</v>
      </c>
      <c r="AL60" s="36">
        <v>13.7</v>
      </c>
      <c r="AM60" s="36">
        <v>20.5</v>
      </c>
      <c r="AN60" s="36">
        <v>84</v>
      </c>
      <c r="AO60" s="36">
        <v>107</v>
      </c>
      <c r="AP60" s="36">
        <v>24010</v>
      </c>
      <c r="AQ60" s="36">
        <v>975</v>
      </c>
      <c r="AR60" s="36">
        <v>1260</v>
      </c>
      <c r="AS60" s="36">
        <v>131</v>
      </c>
      <c r="AT60" s="36">
        <v>15</v>
      </c>
      <c r="AU60" s="37">
        <v>3.02</v>
      </c>
      <c r="AV60" s="28"/>
      <c r="AW60" s="28"/>
      <c r="AX60" s="22">
        <v>16</v>
      </c>
      <c r="AY60" s="22" t="s">
        <v>95</v>
      </c>
      <c r="AZ60" s="22">
        <v>250</v>
      </c>
      <c r="BA60" s="22">
        <v>125</v>
      </c>
      <c r="BB60" s="22">
        <v>5</v>
      </c>
      <c r="BC60" s="22">
        <v>8</v>
      </c>
      <c r="BD60" s="22">
        <v>25.7</v>
      </c>
      <c r="BE60" s="22">
        <v>32.68</v>
      </c>
      <c r="BF60" s="22">
        <v>3540</v>
      </c>
      <c r="BG60" s="22">
        <v>255</v>
      </c>
      <c r="BH60" s="22">
        <v>285</v>
      </c>
      <c r="BI60" s="22">
        <v>41.1</v>
      </c>
      <c r="BJ60" s="22">
        <v>10.4</v>
      </c>
      <c r="BK60" s="22">
        <v>2.79</v>
      </c>
    </row>
    <row r="61" spans="1:63" ht="22.5">
      <c r="A61" s="22">
        <v>17</v>
      </c>
      <c r="B61" s="22" t="s">
        <v>69</v>
      </c>
      <c r="C61" s="22">
        <v>150</v>
      </c>
      <c r="D61" s="22">
        <v>100</v>
      </c>
      <c r="E61" s="23">
        <v>4.5</v>
      </c>
      <c r="F61" s="23">
        <v>16.62</v>
      </c>
      <c r="G61" s="23">
        <v>21.169</v>
      </c>
      <c r="H61" s="23">
        <v>658.06</v>
      </c>
      <c r="I61" s="23">
        <v>351.96</v>
      </c>
      <c r="J61" s="23">
        <v>87.74</v>
      </c>
      <c r="K61" s="23">
        <v>46.93</v>
      </c>
      <c r="L61" s="23">
        <v>5.58</v>
      </c>
      <c r="M61" s="23">
        <v>4.08</v>
      </c>
      <c r="N61" s="17"/>
      <c r="O61" s="40"/>
      <c r="P61" s="25">
        <v>17</v>
      </c>
      <c r="Q61" s="25" t="s">
        <v>92</v>
      </c>
      <c r="R61" s="25">
        <v>380</v>
      </c>
      <c r="S61" s="25">
        <v>100</v>
      </c>
      <c r="T61" s="25">
        <v>13</v>
      </c>
      <c r="U61" s="25">
        <v>20</v>
      </c>
      <c r="V61" s="25">
        <v>67.3</v>
      </c>
      <c r="W61" s="25">
        <v>85.71</v>
      </c>
      <c r="X61" s="25">
        <v>17600</v>
      </c>
      <c r="Y61" s="25">
        <v>671</v>
      </c>
      <c r="Z61" s="25">
        <v>924</v>
      </c>
      <c r="AA61" s="25">
        <v>89.5</v>
      </c>
      <c r="AB61" s="41">
        <v>14.3</v>
      </c>
      <c r="AC61" s="41">
        <v>2.8</v>
      </c>
      <c r="AD61" s="17"/>
      <c r="AE61" s="13"/>
      <c r="AG61" s="18"/>
      <c r="AH61" s="35">
        <v>17</v>
      </c>
      <c r="AI61" s="18" t="s">
        <v>96</v>
      </c>
      <c r="AJ61" s="18">
        <v>400</v>
      </c>
      <c r="AK61" s="18">
        <v>155</v>
      </c>
      <c r="AL61" s="36">
        <v>14.4</v>
      </c>
      <c r="AM61" s="36">
        <v>21.6</v>
      </c>
      <c r="AN61" s="36">
        <v>92.1</v>
      </c>
      <c r="AO61" s="36">
        <v>118</v>
      </c>
      <c r="AP61" s="36">
        <v>29210</v>
      </c>
      <c r="AQ61" s="36">
        <v>1160</v>
      </c>
      <c r="AR61" s="36">
        <v>1460</v>
      </c>
      <c r="AS61" s="36">
        <v>149</v>
      </c>
      <c r="AT61" s="36">
        <v>15.7</v>
      </c>
      <c r="AU61" s="37">
        <v>3.13</v>
      </c>
      <c r="AV61" s="28"/>
      <c r="AW61" s="28"/>
      <c r="AX61" s="22">
        <v>17</v>
      </c>
      <c r="AY61" s="22" t="s">
        <v>95</v>
      </c>
      <c r="AZ61" s="22">
        <v>250</v>
      </c>
      <c r="BA61" s="22">
        <v>125</v>
      </c>
      <c r="BB61" s="22">
        <v>6</v>
      </c>
      <c r="BC61" s="22">
        <v>9</v>
      </c>
      <c r="BD61" s="22">
        <v>29.6</v>
      </c>
      <c r="BE61" s="22">
        <v>37.66</v>
      </c>
      <c r="BF61" s="22">
        <v>4050</v>
      </c>
      <c r="BG61" s="22">
        <v>294</v>
      </c>
      <c r="BH61" s="22">
        <v>324</v>
      </c>
      <c r="BI61" s="22">
        <v>47</v>
      </c>
      <c r="BJ61" s="22">
        <v>10.4</v>
      </c>
      <c r="BK61" s="22">
        <v>2.79</v>
      </c>
    </row>
    <row r="62" spans="1:63" ht="22.5">
      <c r="A62" s="22">
        <v>18</v>
      </c>
      <c r="B62" s="22" t="s">
        <v>69</v>
      </c>
      <c r="C62" s="22">
        <v>150</v>
      </c>
      <c r="D62" s="22">
        <v>100</v>
      </c>
      <c r="E62" s="23">
        <v>6</v>
      </c>
      <c r="F62" s="23">
        <v>21.69</v>
      </c>
      <c r="G62" s="23">
        <v>27.633</v>
      </c>
      <c r="H62" s="23">
        <v>834.68</v>
      </c>
      <c r="I62" s="23">
        <v>444.19</v>
      </c>
      <c r="J62" s="23">
        <v>111.29</v>
      </c>
      <c r="K62" s="23">
        <v>59.23</v>
      </c>
      <c r="L62" s="23">
        <v>5.5</v>
      </c>
      <c r="M62" s="23">
        <v>4.01</v>
      </c>
      <c r="N62" s="17"/>
      <c r="O62" s="13"/>
      <c r="P62" s="13"/>
      <c r="R62" s="28"/>
      <c r="S62" s="28"/>
      <c r="T62" s="28"/>
      <c r="U62" s="28"/>
      <c r="V62" s="28"/>
      <c r="W62" s="28"/>
      <c r="X62" s="28"/>
      <c r="Y62" s="28"/>
      <c r="Z62" s="28"/>
      <c r="AA62" s="28"/>
      <c r="AC62" s="17"/>
      <c r="AD62" s="13"/>
      <c r="AG62" s="18"/>
      <c r="AH62" s="35">
        <v>18</v>
      </c>
      <c r="AI62" s="18" t="s">
        <v>97</v>
      </c>
      <c r="AJ62" s="18">
        <v>425</v>
      </c>
      <c r="AK62" s="18">
        <v>163</v>
      </c>
      <c r="AL62" s="36">
        <v>15.3</v>
      </c>
      <c r="AM62" s="36">
        <v>23</v>
      </c>
      <c r="AN62" s="36">
        <v>104</v>
      </c>
      <c r="AO62" s="36">
        <v>132</v>
      </c>
      <c r="AP62" s="36">
        <v>36970</v>
      </c>
      <c r="AQ62" s="36">
        <v>1440</v>
      </c>
      <c r="AR62" s="36">
        <v>1740</v>
      </c>
      <c r="AS62" s="36">
        <v>178</v>
      </c>
      <c r="AT62" s="36">
        <v>16.7</v>
      </c>
      <c r="AU62" s="37">
        <v>3.3</v>
      </c>
      <c r="AV62" s="28"/>
      <c r="AW62" s="28"/>
      <c r="AX62" s="22">
        <v>18</v>
      </c>
      <c r="AY62" s="22" t="s">
        <v>98</v>
      </c>
      <c r="AZ62" s="22">
        <v>250</v>
      </c>
      <c r="BA62" s="22">
        <v>175</v>
      </c>
      <c r="BB62" s="22">
        <v>7</v>
      </c>
      <c r="BC62" s="22">
        <v>11</v>
      </c>
      <c r="BD62" s="22">
        <v>44.1</v>
      </c>
      <c r="BE62" s="22">
        <v>56.24</v>
      </c>
      <c r="BF62" s="22">
        <v>6120</v>
      </c>
      <c r="BG62" s="22">
        <v>984</v>
      </c>
      <c r="BH62" s="22">
        <v>502</v>
      </c>
      <c r="BI62" s="22">
        <v>113</v>
      </c>
      <c r="BJ62" s="22">
        <v>10.4</v>
      </c>
      <c r="BK62" s="22">
        <v>4.18</v>
      </c>
    </row>
    <row r="63" spans="1:63" ht="22.5">
      <c r="A63" s="22">
        <v>19</v>
      </c>
      <c r="B63" s="22" t="s">
        <v>81</v>
      </c>
      <c r="C63" s="22">
        <v>200</v>
      </c>
      <c r="D63" s="22">
        <v>100</v>
      </c>
      <c r="E63" s="23">
        <v>4.5</v>
      </c>
      <c r="F63" s="23">
        <v>20.15</v>
      </c>
      <c r="G63" s="23">
        <v>25.669</v>
      </c>
      <c r="H63" s="23">
        <v>1331.44</v>
      </c>
      <c r="I63" s="23">
        <v>454.64</v>
      </c>
      <c r="J63" s="23">
        <v>133.14</v>
      </c>
      <c r="K63" s="23">
        <v>45.46</v>
      </c>
      <c r="L63" s="23">
        <v>7.2</v>
      </c>
      <c r="M63" s="23">
        <v>4.21</v>
      </c>
      <c r="N63" s="17"/>
      <c r="O63" s="13"/>
      <c r="P63" s="13"/>
      <c r="R63" s="28"/>
      <c r="S63" s="28"/>
      <c r="T63" s="28"/>
      <c r="U63" s="28"/>
      <c r="V63" s="28"/>
      <c r="W63" s="28"/>
      <c r="X63" s="28"/>
      <c r="Y63" s="28"/>
      <c r="Z63" s="28"/>
      <c r="AA63" s="28"/>
      <c r="AC63" s="17"/>
      <c r="AD63" s="13"/>
      <c r="AG63" s="18"/>
      <c r="AH63" s="35">
        <v>19</v>
      </c>
      <c r="AI63" s="18" t="s">
        <v>99</v>
      </c>
      <c r="AJ63" s="18">
        <v>450</v>
      </c>
      <c r="AK63" s="18">
        <v>170</v>
      </c>
      <c r="AL63" s="36">
        <v>16.2</v>
      </c>
      <c r="AM63" s="36">
        <v>24.3</v>
      </c>
      <c r="AN63" s="36">
        <v>115</v>
      </c>
      <c r="AO63" s="36">
        <v>147</v>
      </c>
      <c r="AP63" s="36">
        <v>45850</v>
      </c>
      <c r="AQ63" s="36">
        <v>1730</v>
      </c>
      <c r="AR63" s="36">
        <v>2040</v>
      </c>
      <c r="AS63" s="36">
        <v>203</v>
      </c>
      <c r="AT63" s="36">
        <v>17.7</v>
      </c>
      <c r="AU63" s="37">
        <v>3.43</v>
      </c>
      <c r="AV63" s="28"/>
      <c r="AW63" s="28"/>
      <c r="AX63" s="22">
        <v>19</v>
      </c>
      <c r="AY63" s="22" t="s">
        <v>100</v>
      </c>
      <c r="AZ63" s="22">
        <v>250</v>
      </c>
      <c r="BA63" s="22">
        <v>250</v>
      </c>
      <c r="BB63" s="22">
        <v>11</v>
      </c>
      <c r="BC63" s="22">
        <v>11</v>
      </c>
      <c r="BD63" s="22">
        <v>64.4</v>
      </c>
      <c r="BE63" s="22">
        <v>82.06</v>
      </c>
      <c r="BF63" s="22">
        <v>8790</v>
      </c>
      <c r="BG63" s="22">
        <v>2940</v>
      </c>
      <c r="BH63" s="22">
        <v>720</v>
      </c>
      <c r="BI63" s="22">
        <v>233</v>
      </c>
      <c r="BJ63" s="22">
        <v>10.3</v>
      </c>
      <c r="BK63" s="22">
        <v>5.98</v>
      </c>
    </row>
    <row r="64" spans="1:63" ht="22.5">
      <c r="A64" s="25">
        <v>20</v>
      </c>
      <c r="B64" s="25" t="s">
        <v>81</v>
      </c>
      <c r="C64" s="25">
        <v>200</v>
      </c>
      <c r="D64" s="25">
        <v>100</v>
      </c>
      <c r="E64" s="26">
        <v>6</v>
      </c>
      <c r="F64" s="26">
        <v>26.4</v>
      </c>
      <c r="G64" s="26">
        <v>33.633</v>
      </c>
      <c r="H64" s="26">
        <v>1703.3</v>
      </c>
      <c r="I64" s="26">
        <v>576.91</v>
      </c>
      <c r="J64" s="26">
        <v>170.33</v>
      </c>
      <c r="K64" s="26">
        <v>57.69</v>
      </c>
      <c r="L64" s="26">
        <v>7.12</v>
      </c>
      <c r="M64" s="26">
        <v>4.14</v>
      </c>
      <c r="N64" s="17"/>
      <c r="O64" s="17"/>
      <c r="P64" s="24"/>
      <c r="R64" s="28"/>
      <c r="S64" s="28"/>
      <c r="T64" s="28"/>
      <c r="U64" s="28"/>
      <c r="V64" s="28"/>
      <c r="W64" s="28"/>
      <c r="X64" s="28"/>
      <c r="Y64" s="28"/>
      <c r="Z64" s="28"/>
      <c r="AA64" s="28"/>
      <c r="AC64" s="17"/>
      <c r="AD64" s="13"/>
      <c r="AG64" s="18"/>
      <c r="AH64" s="35">
        <v>20</v>
      </c>
      <c r="AI64" s="18" t="s">
        <v>101</v>
      </c>
      <c r="AJ64" s="18">
        <v>475</v>
      </c>
      <c r="AK64" s="18">
        <v>178</v>
      </c>
      <c r="AL64" s="36">
        <v>17.1</v>
      </c>
      <c r="AM64" s="36">
        <v>25.6</v>
      </c>
      <c r="AN64" s="36">
        <v>128</v>
      </c>
      <c r="AO64" s="36">
        <v>163</v>
      </c>
      <c r="AP64" s="36">
        <v>56480</v>
      </c>
      <c r="AQ64" s="36">
        <v>2090</v>
      </c>
      <c r="AR64" s="36">
        <v>2380</v>
      </c>
      <c r="AS64" s="36">
        <v>235</v>
      </c>
      <c r="AT64" s="36">
        <v>18.6</v>
      </c>
      <c r="AU64" s="37">
        <v>3.6</v>
      </c>
      <c r="AV64" s="28"/>
      <c r="AW64" s="28"/>
      <c r="AX64" s="22">
        <v>20</v>
      </c>
      <c r="AY64" s="22" t="s">
        <v>100</v>
      </c>
      <c r="AZ64" s="22">
        <v>250</v>
      </c>
      <c r="BA64" s="22">
        <v>250</v>
      </c>
      <c r="BB64" s="22">
        <v>8</v>
      </c>
      <c r="BC64" s="22">
        <v>13</v>
      </c>
      <c r="BD64" s="22">
        <v>66.5</v>
      </c>
      <c r="BE64" s="22">
        <v>84.7</v>
      </c>
      <c r="BF64" s="22">
        <v>9930</v>
      </c>
      <c r="BG64" s="22">
        <v>3350</v>
      </c>
      <c r="BH64" s="22">
        <v>801</v>
      </c>
      <c r="BI64" s="22">
        <v>269</v>
      </c>
      <c r="BJ64" s="22">
        <v>10.8</v>
      </c>
      <c r="BK64" s="22">
        <v>6.29</v>
      </c>
    </row>
    <row r="65" spans="1:63" ht="22.5">
      <c r="A65" s="28"/>
      <c r="B65" s="28"/>
      <c r="C65" s="28"/>
      <c r="D65" s="28"/>
      <c r="E65" s="28"/>
      <c r="F65" s="28"/>
      <c r="G65" s="28"/>
      <c r="H65" s="28"/>
      <c r="I65" s="28"/>
      <c r="J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C65" s="17"/>
      <c r="AD65" s="24"/>
      <c r="AG65" s="18"/>
      <c r="AH65" s="35">
        <v>21</v>
      </c>
      <c r="AI65" s="18" t="s">
        <v>102</v>
      </c>
      <c r="AJ65" s="18">
        <v>500</v>
      </c>
      <c r="AK65" s="18">
        <v>185</v>
      </c>
      <c r="AL65" s="36">
        <v>18</v>
      </c>
      <c r="AM65" s="36">
        <v>27</v>
      </c>
      <c r="AN65" s="36">
        <v>141</v>
      </c>
      <c r="AO65" s="36">
        <v>179</v>
      </c>
      <c r="AP65" s="36">
        <v>68740</v>
      </c>
      <c r="AQ65" s="36">
        <v>2480</v>
      </c>
      <c r="AR65" s="36">
        <v>2750</v>
      </c>
      <c r="AS65" s="36">
        <v>268</v>
      </c>
      <c r="AT65" s="36">
        <v>19.6</v>
      </c>
      <c r="AU65" s="37">
        <v>3.72</v>
      </c>
      <c r="AV65" s="28"/>
      <c r="AW65" s="28"/>
      <c r="AX65" s="22">
        <v>21</v>
      </c>
      <c r="AY65" s="22" t="s">
        <v>100</v>
      </c>
      <c r="AZ65" s="22">
        <v>250</v>
      </c>
      <c r="BA65" s="22">
        <v>250</v>
      </c>
      <c r="BB65" s="22">
        <v>9</v>
      </c>
      <c r="BC65" s="22">
        <v>14</v>
      </c>
      <c r="BD65" s="22">
        <v>72.4</v>
      </c>
      <c r="BE65" s="22">
        <v>92.18</v>
      </c>
      <c r="BF65" s="22">
        <v>10800</v>
      </c>
      <c r="BG65" s="22">
        <v>3650</v>
      </c>
      <c r="BH65" s="22">
        <v>867</v>
      </c>
      <c r="BI65" s="22">
        <v>292</v>
      </c>
      <c r="BJ65" s="22">
        <v>10.8</v>
      </c>
      <c r="BK65" s="22">
        <v>6.29</v>
      </c>
    </row>
    <row r="66" spans="1:63" ht="22.5">
      <c r="A66" s="28"/>
      <c r="B66" s="28" t="s">
        <v>22</v>
      </c>
      <c r="C66" s="28" t="s">
        <v>4</v>
      </c>
      <c r="D66" s="28" t="s">
        <v>6</v>
      </c>
      <c r="E66" s="28" t="s">
        <v>5</v>
      </c>
      <c r="F66" s="28" t="s">
        <v>33</v>
      </c>
      <c r="G66" s="28" t="s">
        <v>35</v>
      </c>
      <c r="H66" s="28" t="s">
        <v>103</v>
      </c>
      <c r="I66" s="28" t="s">
        <v>36</v>
      </c>
      <c r="J66" s="28" t="s">
        <v>25</v>
      </c>
      <c r="K66" s="17" t="s">
        <v>26</v>
      </c>
      <c r="L66" s="28" t="s">
        <v>23</v>
      </c>
      <c r="M66" s="17" t="s">
        <v>24</v>
      </c>
      <c r="N66" s="28" t="s">
        <v>8</v>
      </c>
      <c r="O66" s="28" t="s">
        <v>10</v>
      </c>
      <c r="P66" s="28" t="s">
        <v>31</v>
      </c>
      <c r="Q66" s="17"/>
      <c r="R66" s="28"/>
      <c r="S66" s="28"/>
      <c r="T66" s="28"/>
      <c r="U66" s="28"/>
      <c r="V66" s="28"/>
      <c r="W66" s="28"/>
      <c r="X66" s="28"/>
      <c r="Y66" s="28"/>
      <c r="Z66" s="28"/>
      <c r="AA66" s="28"/>
      <c r="AG66" s="18"/>
      <c r="AH66" s="35">
        <v>22</v>
      </c>
      <c r="AI66" s="18" t="s">
        <v>104</v>
      </c>
      <c r="AJ66" s="18">
        <v>550</v>
      </c>
      <c r="AK66" s="18">
        <v>200</v>
      </c>
      <c r="AL66" s="36">
        <v>19</v>
      </c>
      <c r="AM66" s="36">
        <v>30</v>
      </c>
      <c r="AN66" s="36">
        <v>166</v>
      </c>
      <c r="AO66" s="36">
        <v>212</v>
      </c>
      <c r="AP66" s="36">
        <v>99180</v>
      </c>
      <c r="AQ66" s="36">
        <v>3490</v>
      </c>
      <c r="AR66" s="36">
        <v>3610</v>
      </c>
      <c r="AS66" s="36">
        <v>349</v>
      </c>
      <c r="AT66" s="36">
        <v>21.6</v>
      </c>
      <c r="AU66" s="37">
        <v>4.02</v>
      </c>
      <c r="AV66" s="28"/>
      <c r="AW66" s="28"/>
      <c r="AX66" s="22">
        <v>22</v>
      </c>
      <c r="AY66" s="22" t="s">
        <v>100</v>
      </c>
      <c r="AZ66" s="22">
        <v>250</v>
      </c>
      <c r="BA66" s="22">
        <v>250</v>
      </c>
      <c r="BB66" s="22">
        <v>14</v>
      </c>
      <c r="BC66" s="22">
        <v>14</v>
      </c>
      <c r="BD66" s="22">
        <v>82.2</v>
      </c>
      <c r="BE66" s="22">
        <v>104.7</v>
      </c>
      <c r="BF66" s="22">
        <v>11500</v>
      </c>
      <c r="BG66" s="22">
        <v>3880</v>
      </c>
      <c r="BH66" s="22">
        <v>919</v>
      </c>
      <c r="BI66" s="22">
        <v>304</v>
      </c>
      <c r="BJ66" s="22">
        <v>10.5</v>
      </c>
      <c r="BK66" s="22">
        <v>6.09</v>
      </c>
    </row>
    <row r="67" spans="1:63" ht="22.5">
      <c r="A67" s="28">
        <v>1</v>
      </c>
      <c r="B67" s="28" t="e">
        <f>J5</f>
        <v>#REF!</v>
      </c>
      <c r="C67" s="28" t="e">
        <f>J5</f>
        <v>#REF!</v>
      </c>
      <c r="D67" s="28" t="e">
        <f>J5</f>
        <v>#REF!</v>
      </c>
      <c r="E67" s="28" t="e">
        <f>J5</f>
        <v>#REF!</v>
      </c>
      <c r="F67" s="28" t="e">
        <f>J6</f>
        <v>#REF!</v>
      </c>
      <c r="G67" s="28" t="e">
        <f>J7</f>
        <v>#REF!</v>
      </c>
      <c r="H67" s="28" t="e">
        <f>J9</f>
        <v>#REF!</v>
      </c>
      <c r="I67" s="28" t="e">
        <f>J8</f>
        <v>#REF!</v>
      </c>
      <c r="J67" s="28" t="e">
        <f>J10</f>
        <v>#REF!</v>
      </c>
      <c r="K67" s="17" t="e">
        <f>J11</f>
        <v>#REF!</v>
      </c>
      <c r="L67" s="17" t="e">
        <f>J12</f>
        <v>#REF!</v>
      </c>
      <c r="M67" s="17" t="e">
        <f>J13</f>
        <v>#REF!</v>
      </c>
      <c r="N67" s="17" t="e">
        <f>J14</f>
        <v>#REF!</v>
      </c>
      <c r="O67" s="17" t="e">
        <f>J15</f>
        <v>#REF!</v>
      </c>
      <c r="P67" s="134" t="e">
        <f>J16</f>
        <v>#REF!</v>
      </c>
      <c r="Q67" s="134"/>
      <c r="R67" s="134"/>
      <c r="S67" s="134"/>
      <c r="T67" s="139"/>
      <c r="U67" s="139"/>
      <c r="V67" s="139"/>
      <c r="W67" s="28"/>
      <c r="X67" s="28"/>
      <c r="Y67" s="28"/>
      <c r="Z67" s="28"/>
      <c r="AA67" s="28"/>
      <c r="AG67" s="18"/>
      <c r="AH67" s="42">
        <v>23</v>
      </c>
      <c r="AI67" s="43" t="s">
        <v>105</v>
      </c>
      <c r="AJ67" s="43">
        <v>600</v>
      </c>
      <c r="AK67" s="43">
        <v>215</v>
      </c>
      <c r="AL67" s="44">
        <v>21.6</v>
      </c>
      <c r="AM67" s="44">
        <v>32.4</v>
      </c>
      <c r="AN67" s="44">
        <v>199</v>
      </c>
      <c r="AO67" s="44">
        <v>254</v>
      </c>
      <c r="AP67" s="44">
        <v>139000</v>
      </c>
      <c r="AQ67" s="44">
        <v>4670</v>
      </c>
      <c r="AR67" s="44">
        <v>4630</v>
      </c>
      <c r="AS67" s="44">
        <v>434</v>
      </c>
      <c r="AT67" s="44">
        <v>23.4</v>
      </c>
      <c r="AU67" s="45">
        <v>4.3</v>
      </c>
      <c r="AV67" s="28"/>
      <c r="AW67" s="28"/>
      <c r="AX67" s="22">
        <v>23</v>
      </c>
      <c r="AY67" s="22" t="s">
        <v>106</v>
      </c>
      <c r="AZ67" s="22">
        <v>300</v>
      </c>
      <c r="BA67" s="22">
        <v>150</v>
      </c>
      <c r="BB67" s="22">
        <v>5.5</v>
      </c>
      <c r="BC67" s="22">
        <v>8</v>
      </c>
      <c r="BD67" s="22">
        <v>32</v>
      </c>
      <c r="BE67" s="22">
        <v>40.8</v>
      </c>
      <c r="BF67" s="22">
        <v>6320</v>
      </c>
      <c r="BG67" s="22">
        <v>442</v>
      </c>
      <c r="BH67" s="22">
        <v>424</v>
      </c>
      <c r="BI67" s="22">
        <v>59.3</v>
      </c>
      <c r="BJ67" s="22">
        <v>12.4</v>
      </c>
      <c r="BK67" s="22">
        <v>3.29</v>
      </c>
    </row>
    <row r="68" spans="1:63" ht="22.5">
      <c r="A68" s="28">
        <v>2</v>
      </c>
      <c r="B68" s="28" t="e">
        <f>AH4</f>
        <v>#REF!</v>
      </c>
      <c r="C68" s="28" t="e">
        <f>AJ4</f>
        <v>#REF!</v>
      </c>
      <c r="D68" s="28" t="e">
        <f>AJ5</f>
        <v>#REF!</v>
      </c>
      <c r="E68" s="28" t="e">
        <f>AJ6</f>
        <v>#REF!</v>
      </c>
      <c r="F68" s="28" t="e">
        <f>AH5</f>
        <v>#REF!</v>
      </c>
      <c r="G68" s="28" t="e">
        <f>AH6</f>
        <v>#REF!</v>
      </c>
      <c r="H68" s="28" t="e">
        <f>AH8</f>
        <v>#REF!</v>
      </c>
      <c r="I68" s="28" t="e">
        <f>AH7</f>
        <v>#REF!</v>
      </c>
      <c r="J68" s="28" t="e">
        <f>AH9</f>
        <v>#REF!</v>
      </c>
      <c r="K68" s="17" t="e">
        <f>AH10</f>
        <v>#REF!</v>
      </c>
      <c r="L68" s="17" t="e">
        <f>AH11</f>
        <v>#REF!</v>
      </c>
      <c r="M68" s="17" t="e">
        <f>AH12</f>
        <v>#REF!</v>
      </c>
      <c r="N68" s="17" t="e">
        <f>AH13</f>
        <v>#REF!</v>
      </c>
      <c r="O68" s="17" t="e">
        <f>AH14</f>
        <v>#REF!</v>
      </c>
      <c r="P68" s="134" t="e">
        <f>AH15</f>
        <v>#REF!</v>
      </c>
      <c r="Q68" s="134"/>
      <c r="R68" s="134"/>
      <c r="S68" s="134"/>
      <c r="T68" s="139"/>
      <c r="U68" s="139"/>
      <c r="V68" s="139"/>
      <c r="W68" s="28"/>
      <c r="X68" s="28"/>
      <c r="Y68" s="28"/>
      <c r="Z68" s="28"/>
      <c r="AA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X68" s="22">
        <v>24</v>
      </c>
      <c r="AY68" s="22" t="s">
        <v>106</v>
      </c>
      <c r="AZ68" s="22">
        <v>300</v>
      </c>
      <c r="BA68" s="22">
        <v>150</v>
      </c>
      <c r="BB68" s="22">
        <v>6.5</v>
      </c>
      <c r="BC68" s="22">
        <v>9</v>
      </c>
      <c r="BD68" s="22">
        <v>36.7</v>
      </c>
      <c r="BE68" s="22">
        <v>46.78</v>
      </c>
      <c r="BF68" s="22">
        <v>7210</v>
      </c>
      <c r="BG68" s="22">
        <v>508</v>
      </c>
      <c r="BH68" s="22">
        <v>481</v>
      </c>
      <c r="BI68" s="22">
        <v>67.6</v>
      </c>
      <c r="BJ68" s="22">
        <v>12.4</v>
      </c>
      <c r="BK68" s="22">
        <v>3.29</v>
      </c>
    </row>
    <row r="69" spans="1:63" ht="22.5">
      <c r="A69" s="28">
        <v>3</v>
      </c>
      <c r="B69" s="28" t="e">
        <f>O46</f>
        <v>#REF!</v>
      </c>
      <c r="C69" s="28" t="e">
        <f>O58</f>
        <v>#REF!</v>
      </c>
      <c r="D69" s="28" t="e">
        <f>O59</f>
        <v>#REF!</v>
      </c>
      <c r="E69" s="28" t="s">
        <v>12</v>
      </c>
      <c r="F69" s="28" t="e">
        <f>O47</f>
        <v>#REF!</v>
      </c>
      <c r="G69" s="28" t="e">
        <f>O48</f>
        <v>#REF!</v>
      </c>
      <c r="H69" s="28" t="e">
        <f>O50</f>
        <v>#REF!</v>
      </c>
      <c r="I69" s="28" t="e">
        <f>O49</f>
        <v>#REF!</v>
      </c>
      <c r="J69" s="28" t="e">
        <f>O51</f>
        <v>#REF!</v>
      </c>
      <c r="K69" s="17" t="e">
        <f>O52</f>
        <v>#REF!</v>
      </c>
      <c r="L69" s="17" t="e">
        <f>O53</f>
        <v>#REF!</v>
      </c>
      <c r="M69" s="17" t="e">
        <f>O54</f>
        <v>#REF!</v>
      </c>
      <c r="N69" s="17" t="e">
        <f>O55</f>
        <v>#REF!</v>
      </c>
      <c r="O69" s="17" t="e">
        <f>O56</f>
        <v>#REF!</v>
      </c>
      <c r="P69" s="134" t="e">
        <f>O57</f>
        <v>#REF!</v>
      </c>
      <c r="Q69" s="134"/>
      <c r="R69" s="134"/>
      <c r="S69" s="134"/>
      <c r="T69" s="134"/>
      <c r="U69" s="28"/>
      <c r="V69" s="28"/>
      <c r="W69" s="28"/>
      <c r="X69" s="28"/>
      <c r="Y69" s="28"/>
      <c r="Z69" s="28"/>
      <c r="AA69" s="28"/>
      <c r="AX69" s="22">
        <v>25</v>
      </c>
      <c r="AY69" s="22" t="s">
        <v>107</v>
      </c>
      <c r="AZ69" s="22">
        <v>300</v>
      </c>
      <c r="BA69" s="22">
        <v>200</v>
      </c>
      <c r="BB69" s="22">
        <v>8</v>
      </c>
      <c r="BC69" s="22">
        <v>12</v>
      </c>
      <c r="BD69" s="22">
        <v>56.8</v>
      </c>
      <c r="BE69" s="22">
        <v>72.38</v>
      </c>
      <c r="BF69" s="22">
        <v>11300</v>
      </c>
      <c r="BG69" s="22">
        <v>1600</v>
      </c>
      <c r="BH69" s="22">
        <v>771</v>
      </c>
      <c r="BI69" s="22">
        <v>160</v>
      </c>
      <c r="BJ69" s="22">
        <v>12.5</v>
      </c>
      <c r="BK69" s="22">
        <v>4.71</v>
      </c>
    </row>
    <row r="70" spans="1:63" ht="22.5">
      <c r="A70" s="28">
        <v>4</v>
      </c>
      <c r="B70" s="28" t="e">
        <f>AE46</f>
        <v>#REF!</v>
      </c>
      <c r="C70" s="28" t="e">
        <f>AG46</f>
        <v>#REF!</v>
      </c>
      <c r="D70" s="28" t="e">
        <f>AG47</f>
        <v>#REF!</v>
      </c>
      <c r="E70" s="28" t="s">
        <v>12</v>
      </c>
      <c r="F70" s="46" t="e">
        <f>AE47</f>
        <v>#REF!</v>
      </c>
      <c r="G70" s="28" t="e">
        <f>AE48</f>
        <v>#REF!</v>
      </c>
      <c r="H70" s="28" t="e">
        <f>AE50</f>
        <v>#REF!</v>
      </c>
      <c r="I70" s="28" t="e">
        <f>AE49</f>
        <v>#REF!</v>
      </c>
      <c r="J70" s="28" t="e">
        <f>AE51</f>
        <v>#REF!</v>
      </c>
      <c r="K70" s="17" t="e">
        <f>AE52</f>
        <v>#REF!</v>
      </c>
      <c r="L70" s="17" t="e">
        <f>AE53</f>
        <v>#REF!</v>
      </c>
      <c r="M70" s="17" t="e">
        <f>AE54</f>
        <v>#REF!</v>
      </c>
      <c r="N70" s="17" t="e">
        <f>AE55</f>
        <v>#REF!</v>
      </c>
      <c r="O70" s="17" t="e">
        <f>AE56</f>
        <v>#REF!</v>
      </c>
      <c r="P70" s="134" t="e">
        <f>AE57</f>
        <v>#REF!</v>
      </c>
      <c r="Q70" s="134"/>
      <c r="R70" s="134"/>
      <c r="S70" s="134"/>
      <c r="T70" s="134"/>
      <c r="U70" s="28"/>
      <c r="V70" s="28"/>
      <c r="W70" s="28"/>
      <c r="X70" s="28"/>
      <c r="Y70" s="28"/>
      <c r="Z70" s="28"/>
      <c r="AA70" s="28"/>
      <c r="AX70" s="22">
        <v>26</v>
      </c>
      <c r="AY70" s="22" t="s">
        <v>107</v>
      </c>
      <c r="AZ70" s="22">
        <v>300</v>
      </c>
      <c r="BA70" s="22">
        <v>200</v>
      </c>
      <c r="BB70" s="22">
        <v>9</v>
      </c>
      <c r="BC70" s="22">
        <v>14</v>
      </c>
      <c r="BD70" s="22">
        <v>65.4</v>
      </c>
      <c r="BE70" s="22">
        <v>83.36</v>
      </c>
      <c r="BF70" s="22">
        <v>13300</v>
      </c>
      <c r="BG70" s="22">
        <v>1900</v>
      </c>
      <c r="BH70" s="22">
        <v>893</v>
      </c>
      <c r="BI70" s="22">
        <v>189</v>
      </c>
      <c r="BJ70" s="22">
        <v>12.6</v>
      </c>
      <c r="BK70" s="22">
        <v>4.77</v>
      </c>
    </row>
    <row r="71" spans="1:63" ht="22.5">
      <c r="A71" s="28">
        <v>5</v>
      </c>
      <c r="B71" s="28" t="e">
        <f>AW46</f>
        <v>#REF!</v>
      </c>
      <c r="C71" s="28" t="e">
        <f>AW47</f>
        <v>#REF!</v>
      </c>
      <c r="D71" s="28" t="e">
        <f>AW48</f>
        <v>#REF!</v>
      </c>
      <c r="E71" s="28" t="s">
        <v>12</v>
      </c>
      <c r="F71" s="28" t="e">
        <f>AW49</f>
        <v>#REF!</v>
      </c>
      <c r="G71" s="28" t="e">
        <f>AW50</f>
        <v>#REF!</v>
      </c>
      <c r="H71" s="28" t="e">
        <f>AW51</f>
        <v>#REF!</v>
      </c>
      <c r="I71" s="28" t="e">
        <f>AW52</f>
        <v>#REF!</v>
      </c>
      <c r="J71" s="28" t="e">
        <f>AW53</f>
        <v>#REF!</v>
      </c>
      <c r="K71" s="17" t="e">
        <f>AW54</f>
        <v>#REF!</v>
      </c>
      <c r="L71" s="17" t="e">
        <f>AW55</f>
        <v>#REF!</v>
      </c>
      <c r="M71" s="17" t="e">
        <f>AW56</f>
        <v>#REF!</v>
      </c>
      <c r="N71" s="17" t="e">
        <f>AW57</f>
        <v>#REF!</v>
      </c>
      <c r="O71" s="17" t="e">
        <f>AW58</f>
        <v>#REF!</v>
      </c>
      <c r="P71" s="134" t="e">
        <f>AW59</f>
        <v>#REF!</v>
      </c>
      <c r="Q71" s="134"/>
      <c r="R71" s="134"/>
      <c r="S71" s="134"/>
      <c r="T71" s="134"/>
      <c r="U71" s="28"/>
      <c r="V71" s="28"/>
      <c r="W71" s="28"/>
      <c r="X71" s="28"/>
      <c r="Y71" s="28"/>
      <c r="Z71" s="28"/>
      <c r="AA71" s="28"/>
      <c r="AX71" s="22">
        <v>27</v>
      </c>
      <c r="AY71" s="22" t="s">
        <v>108</v>
      </c>
      <c r="AZ71" s="22">
        <v>300</v>
      </c>
      <c r="BA71" s="22">
        <v>300</v>
      </c>
      <c r="BB71" s="22">
        <v>12</v>
      </c>
      <c r="BC71" s="22">
        <v>12</v>
      </c>
      <c r="BD71" s="22">
        <v>84.5</v>
      </c>
      <c r="BE71" s="22">
        <v>107.7</v>
      </c>
      <c r="BF71" s="22">
        <v>16900</v>
      </c>
      <c r="BG71" s="22">
        <v>5520</v>
      </c>
      <c r="BH71" s="22">
        <v>1150</v>
      </c>
      <c r="BI71" s="22">
        <v>365</v>
      </c>
      <c r="BJ71" s="22">
        <v>12.5</v>
      </c>
      <c r="BK71" s="22">
        <v>7.16</v>
      </c>
    </row>
    <row r="72" spans="1:63" ht="22.5">
      <c r="A72" s="28">
        <v>6</v>
      </c>
      <c r="B72" s="28" t="e">
        <f>BM46</f>
        <v>#REF!</v>
      </c>
      <c r="C72" s="28" t="e">
        <f>BM47</f>
        <v>#REF!</v>
      </c>
      <c r="D72" s="28" t="e">
        <f>BM48</f>
        <v>#REF!</v>
      </c>
      <c r="E72" s="28" t="s">
        <v>12</v>
      </c>
      <c r="F72" s="28" t="e">
        <f>BM49</f>
        <v>#REF!</v>
      </c>
      <c r="G72" s="28" t="e">
        <f>BM50</f>
        <v>#REF!</v>
      </c>
      <c r="H72" s="28" t="e">
        <f>BM51</f>
        <v>#REF!</v>
      </c>
      <c r="I72" s="28" t="e">
        <f>BM52</f>
        <v>#REF!</v>
      </c>
      <c r="J72" s="28" t="e">
        <f>BM53</f>
        <v>#REF!</v>
      </c>
      <c r="K72" s="17" t="e">
        <f>BM54</f>
        <v>#REF!</v>
      </c>
      <c r="L72" s="17" t="e">
        <f>BM55</f>
        <v>#REF!</v>
      </c>
      <c r="M72" s="17" t="e">
        <f>BM56</f>
        <v>#REF!</v>
      </c>
      <c r="N72" s="17" t="e">
        <f>BM57</f>
        <v>#REF!</v>
      </c>
      <c r="O72" s="17" t="e">
        <f>BM58</f>
        <v>#REF!</v>
      </c>
      <c r="P72" s="134" t="e">
        <f>BM59</f>
        <v>#REF!</v>
      </c>
      <c r="Q72" s="134"/>
      <c r="R72" s="134"/>
      <c r="S72" s="134"/>
      <c r="T72" s="134"/>
      <c r="U72" s="28"/>
      <c r="V72" s="28"/>
      <c r="W72" s="28"/>
      <c r="X72" s="28"/>
      <c r="Y72" s="28"/>
      <c r="Z72" s="28"/>
      <c r="AA72" s="28"/>
      <c r="AX72" s="22">
        <v>28</v>
      </c>
      <c r="AY72" s="22" t="s">
        <v>108</v>
      </c>
      <c r="AZ72" s="22">
        <v>300</v>
      </c>
      <c r="BA72" s="22">
        <v>300</v>
      </c>
      <c r="BB72" s="22">
        <v>9</v>
      </c>
      <c r="BC72" s="22">
        <v>14</v>
      </c>
      <c r="BD72" s="22">
        <v>87</v>
      </c>
      <c r="BE72" s="22">
        <v>110.8</v>
      </c>
      <c r="BF72" s="22">
        <v>18800</v>
      </c>
      <c r="BG72" s="22">
        <v>6240</v>
      </c>
      <c r="BH72" s="22">
        <v>1270</v>
      </c>
      <c r="BI72" s="22">
        <v>417</v>
      </c>
      <c r="BJ72" s="22">
        <v>13</v>
      </c>
      <c r="BK72" s="22">
        <v>7.51</v>
      </c>
    </row>
    <row r="73" spans="1:63" ht="22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AX73" s="22">
        <v>29</v>
      </c>
      <c r="AY73" s="22" t="s">
        <v>108</v>
      </c>
      <c r="AZ73" s="22">
        <v>300</v>
      </c>
      <c r="BA73" s="22">
        <v>300</v>
      </c>
      <c r="BB73" s="22">
        <v>10</v>
      </c>
      <c r="BC73" s="22">
        <v>15</v>
      </c>
      <c r="BD73" s="22">
        <v>94</v>
      </c>
      <c r="BE73" s="22">
        <v>119.8</v>
      </c>
      <c r="BF73" s="22">
        <v>20400</v>
      </c>
      <c r="BG73" s="22">
        <v>6750</v>
      </c>
      <c r="BH73" s="22">
        <v>1360</v>
      </c>
      <c r="BI73" s="22">
        <v>450</v>
      </c>
      <c r="BJ73" s="22">
        <v>13.1</v>
      </c>
      <c r="BK73" s="22">
        <v>7.51</v>
      </c>
    </row>
    <row r="74" spans="1:63" ht="22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17"/>
      <c r="L74" s="17"/>
      <c r="M74" s="17"/>
      <c r="N74" s="17"/>
      <c r="O74" s="17"/>
      <c r="P74" s="28"/>
      <c r="Q74" s="17"/>
      <c r="R74" s="17"/>
      <c r="S74" s="17"/>
      <c r="T74" s="17"/>
      <c r="U74" s="17"/>
      <c r="V74" s="17"/>
      <c r="AX74" s="22">
        <v>30</v>
      </c>
      <c r="AY74" s="22" t="s">
        <v>108</v>
      </c>
      <c r="AZ74" s="22">
        <v>300</v>
      </c>
      <c r="BA74" s="22">
        <v>300</v>
      </c>
      <c r="BB74" s="22">
        <v>15</v>
      </c>
      <c r="BC74" s="22">
        <v>15</v>
      </c>
      <c r="BD74" s="22">
        <v>106</v>
      </c>
      <c r="BE74" s="22">
        <v>134.8</v>
      </c>
      <c r="BF74" s="22">
        <v>21500</v>
      </c>
      <c r="BG74" s="22">
        <v>7100</v>
      </c>
      <c r="BH74" s="22">
        <v>1440</v>
      </c>
      <c r="BI74" s="22">
        <v>466</v>
      </c>
      <c r="BJ74" s="22">
        <v>12.6</v>
      </c>
      <c r="BK74" s="22">
        <v>7.26</v>
      </c>
    </row>
    <row r="75" spans="1:63" ht="22.5">
      <c r="A75" s="28"/>
      <c r="B75" s="28"/>
      <c r="C75" s="28"/>
      <c r="D75" s="28"/>
      <c r="E75" s="28"/>
      <c r="F75" s="28"/>
      <c r="G75" s="28"/>
      <c r="H75" s="28"/>
      <c r="I75" s="28"/>
      <c r="J75" s="28"/>
      <c r="AX75" s="22">
        <v>31</v>
      </c>
      <c r="AY75" s="22" t="s">
        <v>108</v>
      </c>
      <c r="AZ75" s="22">
        <v>300</v>
      </c>
      <c r="BA75" s="22">
        <v>300</v>
      </c>
      <c r="BB75" s="22">
        <v>11</v>
      </c>
      <c r="BC75" s="22">
        <v>17</v>
      </c>
      <c r="BD75" s="22">
        <v>106</v>
      </c>
      <c r="BE75" s="22">
        <v>134.8</v>
      </c>
      <c r="BF75" s="22">
        <v>23400</v>
      </c>
      <c r="BG75" s="22">
        <v>7730</v>
      </c>
      <c r="BH75" s="22">
        <v>1540</v>
      </c>
      <c r="BI75" s="22">
        <v>514</v>
      </c>
      <c r="BJ75" s="22">
        <v>13.2</v>
      </c>
      <c r="BK75" s="22">
        <v>7.57</v>
      </c>
    </row>
    <row r="76" spans="1:63" ht="22.5">
      <c r="A76" s="28"/>
      <c r="B76" s="28"/>
      <c r="C76" s="28"/>
      <c r="D76" s="28"/>
      <c r="E76" s="28"/>
      <c r="F76" s="28"/>
      <c r="G76" s="28"/>
      <c r="H76" s="28"/>
      <c r="I76" s="28"/>
      <c r="J76" s="28"/>
      <c r="AX76" s="22">
        <v>32</v>
      </c>
      <c r="AY76" s="22" t="s">
        <v>109</v>
      </c>
      <c r="AZ76" s="22">
        <v>350</v>
      </c>
      <c r="BA76" s="22">
        <v>175</v>
      </c>
      <c r="BB76" s="22">
        <v>6</v>
      </c>
      <c r="BC76" s="22">
        <v>9</v>
      </c>
      <c r="BD76" s="22">
        <v>41.4</v>
      </c>
      <c r="BE76" s="22">
        <v>52.68</v>
      </c>
      <c r="BF76" s="22">
        <v>11100</v>
      </c>
      <c r="BG76" s="22">
        <v>792</v>
      </c>
      <c r="BH76" s="22">
        <v>641</v>
      </c>
      <c r="BI76" s="22">
        <v>91</v>
      </c>
      <c r="BJ76" s="22">
        <v>14.5</v>
      </c>
      <c r="BK76" s="22">
        <v>3.86</v>
      </c>
    </row>
    <row r="77" spans="1:63" ht="22.5">
      <c r="A77" s="28"/>
      <c r="B77" s="28"/>
      <c r="C77" s="28"/>
      <c r="D77" s="28"/>
      <c r="E77" s="28"/>
      <c r="F77" s="28"/>
      <c r="G77" s="28"/>
      <c r="H77" s="28"/>
      <c r="I77" s="28"/>
      <c r="J77" s="28"/>
      <c r="AX77" s="22">
        <v>33</v>
      </c>
      <c r="AY77" s="22" t="s">
        <v>109</v>
      </c>
      <c r="AZ77" s="22">
        <v>350</v>
      </c>
      <c r="BA77" s="22">
        <v>175</v>
      </c>
      <c r="BB77" s="22">
        <v>7</v>
      </c>
      <c r="BC77" s="22">
        <v>11</v>
      </c>
      <c r="BD77" s="22">
        <v>49.6</v>
      </c>
      <c r="BE77" s="22">
        <v>63.14</v>
      </c>
      <c r="BF77" s="22">
        <v>13600</v>
      </c>
      <c r="BG77" s="22">
        <v>684</v>
      </c>
      <c r="BH77" s="22">
        <v>775</v>
      </c>
      <c r="BI77" s="22">
        <v>112</v>
      </c>
      <c r="BJ77" s="22">
        <v>14.7</v>
      </c>
      <c r="BK77" s="22">
        <v>3.95</v>
      </c>
    </row>
    <row r="78" spans="1:63" ht="22.5">
      <c r="A78" s="28"/>
      <c r="B78" s="28"/>
      <c r="C78" s="28"/>
      <c r="D78" s="28"/>
      <c r="E78" s="28"/>
      <c r="F78" s="28"/>
      <c r="G78" s="28"/>
      <c r="H78" s="28"/>
      <c r="I78" s="28"/>
      <c r="J78" s="28"/>
      <c r="AX78" s="22">
        <v>34</v>
      </c>
      <c r="AY78" s="22" t="s">
        <v>110</v>
      </c>
      <c r="AZ78" s="22">
        <v>350</v>
      </c>
      <c r="BA78" s="22">
        <v>250</v>
      </c>
      <c r="BB78" s="22">
        <v>8</v>
      </c>
      <c r="BC78" s="22">
        <v>12</v>
      </c>
      <c r="BD78" s="22">
        <v>69.2</v>
      </c>
      <c r="BE78" s="22">
        <v>88.15</v>
      </c>
      <c r="BF78" s="22">
        <v>18500</v>
      </c>
      <c r="BG78" s="22">
        <v>3090</v>
      </c>
      <c r="BH78" s="22">
        <v>1100</v>
      </c>
      <c r="BI78" s="22">
        <v>248</v>
      </c>
      <c r="BJ78" s="22">
        <v>14.5</v>
      </c>
      <c r="BK78" s="22">
        <v>5.92</v>
      </c>
    </row>
    <row r="79" spans="1:63" ht="22.5">
      <c r="A79" s="28"/>
      <c r="B79" s="28"/>
      <c r="C79" s="28"/>
      <c r="D79" s="28"/>
      <c r="E79" s="28"/>
      <c r="F79" s="28"/>
      <c r="G79" s="28"/>
      <c r="H79" s="28"/>
      <c r="I79" s="28"/>
      <c r="J79" s="28"/>
      <c r="AX79" s="22">
        <v>35</v>
      </c>
      <c r="AY79" s="22" t="s">
        <v>110</v>
      </c>
      <c r="AZ79" s="22">
        <v>350</v>
      </c>
      <c r="BA79" s="22">
        <v>250</v>
      </c>
      <c r="BB79" s="22">
        <v>9</v>
      </c>
      <c r="BC79" s="22">
        <v>14</v>
      </c>
      <c r="BD79" s="22">
        <v>79.7</v>
      </c>
      <c r="BE79" s="22">
        <v>101.5</v>
      </c>
      <c r="BF79" s="22">
        <v>21700</v>
      </c>
      <c r="BG79" s="22">
        <v>3650</v>
      </c>
      <c r="BH79" s="22">
        <v>1280</v>
      </c>
      <c r="BI79" s="22">
        <v>292</v>
      </c>
      <c r="BJ79" s="22">
        <v>14.6</v>
      </c>
      <c r="BK79" s="22">
        <v>6</v>
      </c>
    </row>
    <row r="80" spans="1:63" ht="22.5">
      <c r="A80" s="28"/>
      <c r="B80" s="28"/>
      <c r="C80" s="28"/>
      <c r="D80" s="28"/>
      <c r="E80" s="28"/>
      <c r="F80" s="28"/>
      <c r="G80" s="28"/>
      <c r="H80" s="28"/>
      <c r="I80" s="28"/>
      <c r="J80" s="28"/>
      <c r="AX80" s="22">
        <v>36</v>
      </c>
      <c r="AY80" s="22" t="s">
        <v>111</v>
      </c>
      <c r="AZ80" s="22">
        <v>350</v>
      </c>
      <c r="BA80" s="22">
        <v>350</v>
      </c>
      <c r="BB80" s="22">
        <v>13</v>
      </c>
      <c r="BC80" s="22">
        <v>13</v>
      </c>
      <c r="BD80" s="22">
        <v>106</v>
      </c>
      <c r="BE80" s="22">
        <v>135.3</v>
      </c>
      <c r="BF80" s="22">
        <v>28200</v>
      </c>
      <c r="BG80" s="22">
        <v>9380</v>
      </c>
      <c r="BH80" s="22">
        <v>1670</v>
      </c>
      <c r="BI80" s="22">
        <v>534</v>
      </c>
      <c r="BJ80" s="22">
        <v>14.4</v>
      </c>
      <c r="BK80" s="22">
        <v>8.33</v>
      </c>
    </row>
    <row r="81" spans="1:63" ht="22.5">
      <c r="A81" s="28"/>
      <c r="B81" s="28"/>
      <c r="C81" s="28"/>
      <c r="D81" s="28"/>
      <c r="E81" s="28"/>
      <c r="F81" s="28"/>
      <c r="G81" s="28"/>
      <c r="H81" s="28"/>
      <c r="I81" s="28"/>
      <c r="J81" s="28"/>
      <c r="AX81" s="22">
        <v>37</v>
      </c>
      <c r="AY81" s="22" t="s">
        <v>111</v>
      </c>
      <c r="AZ81" s="22">
        <v>350</v>
      </c>
      <c r="BA81" s="22">
        <v>350</v>
      </c>
      <c r="BB81" s="22">
        <v>10</v>
      </c>
      <c r="BC81" s="22">
        <v>16</v>
      </c>
      <c r="BD81" s="22">
        <v>115</v>
      </c>
      <c r="BE81" s="22">
        <v>146</v>
      </c>
      <c r="BF81" s="22">
        <v>33300</v>
      </c>
      <c r="BG81" s="22">
        <v>11200</v>
      </c>
      <c r="BH81" s="22">
        <v>1940</v>
      </c>
      <c r="BI81" s="22">
        <v>646</v>
      </c>
      <c r="BJ81" s="22">
        <v>15.1</v>
      </c>
      <c r="BK81" s="22">
        <v>8.78</v>
      </c>
    </row>
    <row r="82" spans="1:63" ht="22.5">
      <c r="A82" s="28"/>
      <c r="B82" s="28"/>
      <c r="C82" s="28"/>
      <c r="D82" s="28"/>
      <c r="E82" s="28"/>
      <c r="F82" s="28"/>
      <c r="G82" s="28"/>
      <c r="H82" s="28"/>
      <c r="I82" s="28"/>
      <c r="J82" s="28"/>
      <c r="AX82" s="22">
        <v>38</v>
      </c>
      <c r="AY82" s="22" t="s">
        <v>111</v>
      </c>
      <c r="AZ82" s="22">
        <v>350</v>
      </c>
      <c r="BA82" s="22">
        <v>350</v>
      </c>
      <c r="BB82" s="22">
        <v>16</v>
      </c>
      <c r="BC82" s="22">
        <v>16</v>
      </c>
      <c r="BD82" s="22">
        <v>131</v>
      </c>
      <c r="BE82" s="22">
        <v>166.6</v>
      </c>
      <c r="BF82" s="22">
        <v>35300</v>
      </c>
      <c r="BG82" s="22">
        <v>11800</v>
      </c>
      <c r="BH82" s="22">
        <v>2050</v>
      </c>
      <c r="BI82" s="22">
        <v>669</v>
      </c>
      <c r="BJ82" s="22">
        <v>14.6</v>
      </c>
      <c r="BK82" s="22">
        <v>8.43</v>
      </c>
    </row>
    <row r="83" spans="1:63" ht="22.5">
      <c r="A83" s="28"/>
      <c r="B83" s="28"/>
      <c r="C83" s="28"/>
      <c r="D83" s="28"/>
      <c r="E83" s="28"/>
      <c r="F83" s="28"/>
      <c r="G83" s="28"/>
      <c r="H83" s="28"/>
      <c r="I83" s="28"/>
      <c r="J83" s="28"/>
      <c r="W83" s="9"/>
      <c r="Y83" s="9"/>
      <c r="AX83" s="22">
        <v>39</v>
      </c>
      <c r="AY83" s="22" t="s">
        <v>111</v>
      </c>
      <c r="AZ83" s="22">
        <v>350</v>
      </c>
      <c r="BA83" s="22">
        <v>350</v>
      </c>
      <c r="BB83" s="22">
        <v>12</v>
      </c>
      <c r="BC83" s="22">
        <v>19</v>
      </c>
      <c r="BD83" s="22">
        <v>137</v>
      </c>
      <c r="BE83" s="22">
        <v>173.9</v>
      </c>
      <c r="BF83" s="22">
        <v>40300</v>
      </c>
      <c r="BG83" s="22">
        <v>13600</v>
      </c>
      <c r="BH83" s="22">
        <v>2300</v>
      </c>
      <c r="BI83" s="22">
        <v>776</v>
      </c>
      <c r="BJ83" s="22">
        <v>15.2</v>
      </c>
      <c r="BK83" s="22">
        <v>8.84</v>
      </c>
    </row>
    <row r="84" spans="1:63" ht="22.5">
      <c r="A84" s="28"/>
      <c r="B84" s="28"/>
      <c r="C84" s="28"/>
      <c r="D84" s="28"/>
      <c r="E84" s="28"/>
      <c r="F84" s="28"/>
      <c r="G84" s="28"/>
      <c r="H84" s="28"/>
      <c r="I84" s="28"/>
      <c r="J84" s="28"/>
      <c r="P84" s="28"/>
      <c r="Q84" s="9"/>
      <c r="W84" s="9"/>
      <c r="Y84" s="9"/>
      <c r="AA84" s="9"/>
      <c r="AC84" s="9"/>
      <c r="AX84" s="22">
        <v>40</v>
      </c>
      <c r="AY84" s="22" t="s">
        <v>111</v>
      </c>
      <c r="AZ84" s="22">
        <v>350</v>
      </c>
      <c r="BA84" s="22">
        <v>350</v>
      </c>
      <c r="BB84" s="22">
        <v>19</v>
      </c>
      <c r="BC84" s="22">
        <v>19</v>
      </c>
      <c r="BD84" s="22">
        <v>156</v>
      </c>
      <c r="BE84" s="22">
        <v>198.4</v>
      </c>
      <c r="BF84" s="22">
        <v>42800</v>
      </c>
      <c r="BG84" s="22">
        <v>14400</v>
      </c>
      <c r="BH84" s="22">
        <v>2450</v>
      </c>
      <c r="BI84" s="22">
        <v>809</v>
      </c>
      <c r="BJ84" s="22">
        <v>14.7</v>
      </c>
      <c r="BK84" s="22">
        <v>8.53</v>
      </c>
    </row>
    <row r="85" spans="1:63" ht="22.5">
      <c r="A85" s="28"/>
      <c r="B85" s="28"/>
      <c r="C85" s="28"/>
      <c r="D85" s="28"/>
      <c r="E85" s="28"/>
      <c r="F85" s="28"/>
      <c r="G85" s="28"/>
      <c r="H85" s="28"/>
      <c r="I85" s="28"/>
      <c r="J85" s="28"/>
      <c r="Q85" s="17"/>
      <c r="S85" s="13"/>
      <c r="T85" s="13"/>
      <c r="U85" s="13"/>
      <c r="V85" s="14"/>
      <c r="W85" s="17"/>
      <c r="X85" s="13"/>
      <c r="Y85" s="17"/>
      <c r="Z85" s="13"/>
      <c r="AA85" s="17"/>
      <c r="AB85" s="13"/>
      <c r="AC85" s="17"/>
      <c r="AD85" s="13"/>
      <c r="AX85" s="22">
        <v>41</v>
      </c>
      <c r="AY85" s="22" t="s">
        <v>111</v>
      </c>
      <c r="AZ85" s="22">
        <v>350</v>
      </c>
      <c r="BA85" s="22">
        <v>350</v>
      </c>
      <c r="BB85" s="22">
        <v>14</v>
      </c>
      <c r="BC85" s="22">
        <v>22</v>
      </c>
      <c r="BD85" s="22">
        <v>159</v>
      </c>
      <c r="BE85" s="22">
        <v>202</v>
      </c>
      <c r="BF85" s="22">
        <v>47600</v>
      </c>
      <c r="BG85" s="22">
        <v>16000</v>
      </c>
      <c r="BH85" s="22">
        <v>2670</v>
      </c>
      <c r="BI85" s="22">
        <v>909</v>
      </c>
      <c r="BJ85" s="22">
        <v>15.3</v>
      </c>
      <c r="BK85" s="22">
        <v>8.9</v>
      </c>
    </row>
    <row r="86" spans="1:63" ht="22.5">
      <c r="A86" s="28"/>
      <c r="B86" s="28"/>
      <c r="C86" s="28"/>
      <c r="D86" s="28"/>
      <c r="E86" s="28"/>
      <c r="F86" s="28"/>
      <c r="G86" s="28"/>
      <c r="H86" s="28"/>
      <c r="I86" s="28"/>
      <c r="J86" s="28"/>
      <c r="Q86" s="17"/>
      <c r="S86" s="13"/>
      <c r="T86" s="13"/>
      <c r="U86" s="13"/>
      <c r="V86" s="14"/>
      <c r="W86" s="17"/>
      <c r="X86" s="13"/>
      <c r="Y86" s="17"/>
      <c r="Z86" s="13"/>
      <c r="AA86" s="17"/>
      <c r="AB86" s="13"/>
      <c r="AC86" s="17"/>
      <c r="AD86" s="13"/>
      <c r="AX86" s="22">
        <v>42</v>
      </c>
      <c r="AY86" s="22" t="s">
        <v>112</v>
      </c>
      <c r="AZ86" s="22">
        <v>400</v>
      </c>
      <c r="BA86" s="22">
        <v>200</v>
      </c>
      <c r="BB86" s="22">
        <v>7</v>
      </c>
      <c r="BC86" s="22">
        <v>11</v>
      </c>
      <c r="BD86" s="22">
        <v>56.6</v>
      </c>
      <c r="BE86" s="22">
        <v>72.16</v>
      </c>
      <c r="BF86" s="22">
        <v>20000</v>
      </c>
      <c r="BG86" s="22">
        <v>1450</v>
      </c>
      <c r="BH86" s="22">
        <v>1010</v>
      </c>
      <c r="BI86" s="22">
        <v>145</v>
      </c>
      <c r="BJ86" s="22">
        <v>16.7</v>
      </c>
      <c r="BK86" s="22">
        <v>4.48</v>
      </c>
    </row>
    <row r="87" spans="1:63" ht="22.5">
      <c r="A87" s="28"/>
      <c r="B87" s="28"/>
      <c r="C87" s="28"/>
      <c r="D87" s="28"/>
      <c r="E87" s="28"/>
      <c r="F87" s="28"/>
      <c r="G87" s="28"/>
      <c r="H87" s="28"/>
      <c r="I87" s="28"/>
      <c r="J87" s="28"/>
      <c r="Q87" s="17"/>
      <c r="W87" s="17"/>
      <c r="X87" s="13"/>
      <c r="Y87" s="17"/>
      <c r="Z87" s="13"/>
      <c r="AA87" s="17"/>
      <c r="AB87" s="13"/>
      <c r="AC87" s="17"/>
      <c r="AD87" s="13"/>
      <c r="AX87" s="22">
        <v>43</v>
      </c>
      <c r="AY87" s="22" t="s">
        <v>112</v>
      </c>
      <c r="AZ87" s="22">
        <v>400</v>
      </c>
      <c r="BA87" s="22">
        <v>200</v>
      </c>
      <c r="BB87" s="22">
        <v>8</v>
      </c>
      <c r="BC87" s="22">
        <v>13</v>
      </c>
      <c r="BD87" s="22">
        <v>66</v>
      </c>
      <c r="BE87" s="22">
        <v>84.12</v>
      </c>
      <c r="BF87" s="22">
        <v>23700</v>
      </c>
      <c r="BG87" s="22">
        <v>1740</v>
      </c>
      <c r="BH87" s="22">
        <v>1190</v>
      </c>
      <c r="BI87" s="22">
        <v>174</v>
      </c>
      <c r="BJ87" s="22">
        <v>16.8</v>
      </c>
      <c r="BK87" s="22">
        <v>4.54</v>
      </c>
    </row>
    <row r="88" spans="1:63" ht="22.5">
      <c r="A88" s="28"/>
      <c r="B88" s="28"/>
      <c r="C88" s="28"/>
      <c r="D88" s="28"/>
      <c r="E88" s="28"/>
      <c r="F88" s="28"/>
      <c r="G88" s="28"/>
      <c r="H88" s="28"/>
      <c r="I88" s="28"/>
      <c r="J88" s="28"/>
      <c r="Q88" s="17"/>
      <c r="W88" s="17"/>
      <c r="X88" s="13"/>
      <c r="Y88" s="17"/>
      <c r="Z88" s="13"/>
      <c r="AA88" s="17"/>
      <c r="AB88" s="13"/>
      <c r="AC88" s="17"/>
      <c r="AD88" s="13"/>
      <c r="AX88" s="22">
        <v>44</v>
      </c>
      <c r="AY88" s="22" t="s">
        <v>113</v>
      </c>
      <c r="AZ88" s="22">
        <v>400</v>
      </c>
      <c r="BA88" s="22">
        <v>300</v>
      </c>
      <c r="BB88" s="22">
        <v>9</v>
      </c>
      <c r="BC88" s="22">
        <v>14</v>
      </c>
      <c r="BD88" s="22">
        <v>94.3</v>
      </c>
      <c r="BE88" s="22">
        <v>120.1</v>
      </c>
      <c r="BF88" s="22">
        <v>33700</v>
      </c>
      <c r="BG88" s="22">
        <v>6240</v>
      </c>
      <c r="BH88" s="22">
        <v>1740</v>
      </c>
      <c r="BI88" s="22">
        <v>418</v>
      </c>
      <c r="BJ88" s="22">
        <v>16.7</v>
      </c>
      <c r="BK88" s="22">
        <v>7.21</v>
      </c>
    </row>
    <row r="89" spans="1:63" ht="22.5">
      <c r="A89" s="28"/>
      <c r="B89" s="28"/>
      <c r="C89" s="28"/>
      <c r="D89" s="28"/>
      <c r="E89" s="28"/>
      <c r="F89" s="28"/>
      <c r="G89" s="28"/>
      <c r="H89" s="28"/>
      <c r="I89" s="28"/>
      <c r="J89" s="28"/>
      <c r="Q89" s="17"/>
      <c r="W89" s="17"/>
      <c r="X89" s="13"/>
      <c r="Y89" s="17"/>
      <c r="Z89" s="13"/>
      <c r="AA89" s="17"/>
      <c r="AB89" s="13"/>
      <c r="AC89" s="17"/>
      <c r="AD89" s="13"/>
      <c r="AX89" s="22">
        <v>45</v>
      </c>
      <c r="AY89" s="22" t="s">
        <v>113</v>
      </c>
      <c r="AZ89" s="22">
        <v>400</v>
      </c>
      <c r="BA89" s="22">
        <v>300</v>
      </c>
      <c r="BB89" s="22">
        <v>10</v>
      </c>
      <c r="BC89" s="22">
        <v>16</v>
      </c>
      <c r="BD89" s="22">
        <v>107</v>
      </c>
      <c r="BE89" s="22">
        <v>136</v>
      </c>
      <c r="BF89" s="22">
        <v>38700</v>
      </c>
      <c r="BG89" s="22">
        <v>7210</v>
      </c>
      <c r="BH89" s="22">
        <v>1980</v>
      </c>
      <c r="BI89" s="22">
        <v>481</v>
      </c>
      <c r="BJ89" s="22">
        <v>16.9</v>
      </c>
      <c r="BK89" s="22">
        <v>7.28</v>
      </c>
    </row>
    <row r="90" spans="1:63" ht="22.5">
      <c r="A90" s="28"/>
      <c r="B90" s="28"/>
      <c r="C90" s="28"/>
      <c r="D90" s="28"/>
      <c r="E90" s="28"/>
      <c r="F90" s="28"/>
      <c r="G90" s="28"/>
      <c r="H90" s="28"/>
      <c r="I90" s="28"/>
      <c r="J90" s="28"/>
      <c r="Q90" s="17"/>
      <c r="R90" s="24"/>
      <c r="S90" s="24"/>
      <c r="T90" s="24"/>
      <c r="U90" s="24"/>
      <c r="V90" s="24"/>
      <c r="W90" s="17"/>
      <c r="X90" s="13"/>
      <c r="Y90" s="17"/>
      <c r="Z90" s="13"/>
      <c r="AA90" s="17"/>
      <c r="AB90" s="13"/>
      <c r="AC90" s="17"/>
      <c r="AD90" s="13"/>
      <c r="AX90" s="22">
        <v>46</v>
      </c>
      <c r="AY90" s="22" t="s">
        <v>114</v>
      </c>
      <c r="AZ90" s="22">
        <v>400</v>
      </c>
      <c r="BA90" s="22">
        <v>400</v>
      </c>
      <c r="BB90" s="22">
        <v>15</v>
      </c>
      <c r="BC90" s="22">
        <v>15</v>
      </c>
      <c r="BD90" s="22">
        <v>140</v>
      </c>
      <c r="BE90" s="22">
        <v>178.5</v>
      </c>
      <c r="BF90" s="22">
        <v>49000</v>
      </c>
      <c r="BG90" s="22">
        <v>16300</v>
      </c>
      <c r="BH90" s="22">
        <v>2250</v>
      </c>
      <c r="BI90" s="22">
        <v>809</v>
      </c>
      <c r="BJ90" s="22">
        <v>16.6</v>
      </c>
      <c r="BK90" s="22">
        <v>9.54</v>
      </c>
    </row>
    <row r="91" spans="1:63" ht="22.5">
      <c r="A91" s="28"/>
      <c r="B91" s="28"/>
      <c r="C91" s="28"/>
      <c r="D91" s="28"/>
      <c r="E91" s="28"/>
      <c r="F91" s="28"/>
      <c r="G91" s="28"/>
      <c r="H91" s="28"/>
      <c r="I91" s="28"/>
      <c r="J91" s="28"/>
      <c r="W91" s="17"/>
      <c r="X91" s="13"/>
      <c r="Y91" s="17"/>
      <c r="Z91" s="13"/>
      <c r="AA91" s="17"/>
      <c r="AB91" s="13"/>
      <c r="AC91" s="17"/>
      <c r="AD91" s="13"/>
      <c r="AX91" s="22">
        <v>47</v>
      </c>
      <c r="AY91" s="22" t="s">
        <v>114</v>
      </c>
      <c r="AZ91" s="22">
        <v>400</v>
      </c>
      <c r="BA91" s="22">
        <v>400</v>
      </c>
      <c r="BB91" s="22">
        <v>11</v>
      </c>
      <c r="BC91" s="22">
        <v>18</v>
      </c>
      <c r="BD91" s="22">
        <v>147</v>
      </c>
      <c r="BE91" s="22">
        <v>186.8</v>
      </c>
      <c r="BF91" s="22">
        <v>56100</v>
      </c>
      <c r="BG91" s="22">
        <v>18900</v>
      </c>
      <c r="BH91" s="22">
        <v>2850</v>
      </c>
      <c r="BI91" s="22">
        <v>951</v>
      </c>
      <c r="BJ91" s="22">
        <v>17.3</v>
      </c>
      <c r="BK91" s="22">
        <v>10.1</v>
      </c>
    </row>
    <row r="92" spans="1:63" ht="22.5">
      <c r="A92" s="28"/>
      <c r="B92" s="28"/>
      <c r="C92" s="28"/>
      <c r="D92" s="28"/>
      <c r="E92" s="28"/>
      <c r="F92" s="28"/>
      <c r="G92" s="28"/>
      <c r="H92" s="28"/>
      <c r="I92" s="28"/>
      <c r="J92" s="28"/>
      <c r="W92" s="17"/>
      <c r="X92" s="13"/>
      <c r="Y92" s="17"/>
      <c r="Z92" s="13"/>
      <c r="AA92" s="17"/>
      <c r="AB92" s="13"/>
      <c r="AC92" s="17"/>
      <c r="AD92" s="13"/>
      <c r="AX92" s="22">
        <v>48</v>
      </c>
      <c r="AY92" s="22" t="s">
        <v>114</v>
      </c>
      <c r="AZ92" s="22">
        <v>400</v>
      </c>
      <c r="BA92" s="22">
        <v>400</v>
      </c>
      <c r="BB92" s="22">
        <v>18</v>
      </c>
      <c r="BC92" s="22">
        <v>18</v>
      </c>
      <c r="BD92" s="22">
        <v>168</v>
      </c>
      <c r="BE92" s="22">
        <v>214.4</v>
      </c>
      <c r="BF92" s="22">
        <v>59700</v>
      </c>
      <c r="BG92" s="22">
        <v>20000</v>
      </c>
      <c r="BH92" s="22">
        <v>3030</v>
      </c>
      <c r="BI92" s="22">
        <v>985</v>
      </c>
      <c r="BJ92" s="22">
        <v>16.7</v>
      </c>
      <c r="BK92" s="22">
        <v>9.65</v>
      </c>
    </row>
    <row r="93" spans="1:63" ht="22.5">
      <c r="A93" s="28"/>
      <c r="B93" s="28"/>
      <c r="C93" s="28"/>
      <c r="D93" s="28"/>
      <c r="E93" s="28"/>
      <c r="F93" s="28"/>
      <c r="G93" s="28"/>
      <c r="H93" s="28"/>
      <c r="I93" s="28"/>
      <c r="J93" s="28"/>
      <c r="W93" s="17"/>
      <c r="X93" s="13"/>
      <c r="Y93" s="17"/>
      <c r="Z93" s="13"/>
      <c r="AA93" s="17"/>
      <c r="AB93" s="13"/>
      <c r="AC93" s="17"/>
      <c r="AD93" s="13"/>
      <c r="AX93" s="22">
        <v>49</v>
      </c>
      <c r="AY93" s="22" t="s">
        <v>114</v>
      </c>
      <c r="AZ93" s="22">
        <v>400</v>
      </c>
      <c r="BA93" s="22">
        <v>400</v>
      </c>
      <c r="BB93" s="22">
        <v>13</v>
      </c>
      <c r="BC93" s="22">
        <v>21</v>
      </c>
      <c r="BD93" s="22">
        <v>172</v>
      </c>
      <c r="BE93" s="22">
        <v>218.7</v>
      </c>
      <c r="BF93" s="22">
        <v>66600</v>
      </c>
      <c r="BG93" s="22">
        <v>22400</v>
      </c>
      <c r="BH93" s="22">
        <v>3330</v>
      </c>
      <c r="BI93" s="22">
        <v>1120</v>
      </c>
      <c r="BJ93" s="22">
        <v>17.5</v>
      </c>
      <c r="BK93" s="22">
        <v>10.1</v>
      </c>
    </row>
    <row r="94" spans="1:63" ht="22.5">
      <c r="A94" s="28"/>
      <c r="B94" s="28"/>
      <c r="C94" s="28"/>
      <c r="D94" s="28"/>
      <c r="E94" s="28"/>
      <c r="F94" s="28"/>
      <c r="G94" s="28"/>
      <c r="H94" s="28"/>
      <c r="I94" s="28"/>
      <c r="J94" s="28"/>
      <c r="W94" s="17"/>
      <c r="X94" s="13"/>
      <c r="Y94" s="17"/>
      <c r="Z94" s="13"/>
      <c r="AA94" s="17"/>
      <c r="AB94" s="13"/>
      <c r="AC94" s="17"/>
      <c r="AD94" s="13"/>
      <c r="AX94" s="22">
        <v>50</v>
      </c>
      <c r="AY94" s="22" t="s">
        <v>114</v>
      </c>
      <c r="AZ94" s="22">
        <v>400</v>
      </c>
      <c r="BA94" s="22">
        <v>400</v>
      </c>
      <c r="BB94" s="22">
        <v>21</v>
      </c>
      <c r="BC94" s="22">
        <v>21</v>
      </c>
      <c r="BD94" s="22">
        <v>197</v>
      </c>
      <c r="BE94" s="22">
        <v>250.7</v>
      </c>
      <c r="BF94" s="22">
        <v>70900</v>
      </c>
      <c r="BG94" s="22">
        <v>23800</v>
      </c>
      <c r="BH94" s="22">
        <v>3540</v>
      </c>
      <c r="BI94" s="22">
        <v>1170</v>
      </c>
      <c r="BJ94" s="22">
        <v>16.8</v>
      </c>
      <c r="BK94" s="22">
        <v>9.75</v>
      </c>
    </row>
    <row r="95" spans="1:63" ht="22.5">
      <c r="A95" s="28"/>
      <c r="B95" s="28"/>
      <c r="C95" s="28"/>
      <c r="D95" s="28"/>
      <c r="E95" s="28"/>
      <c r="F95" s="28"/>
      <c r="G95" s="28"/>
      <c r="H95" s="28"/>
      <c r="I95" s="28"/>
      <c r="J95" s="28"/>
      <c r="W95" s="17"/>
      <c r="X95" s="13"/>
      <c r="Y95" s="17"/>
      <c r="Z95" s="13"/>
      <c r="AA95" s="17"/>
      <c r="AB95" s="13"/>
      <c r="AC95" s="17"/>
      <c r="AD95" s="13"/>
      <c r="AX95" s="22">
        <v>51</v>
      </c>
      <c r="AY95" s="22" t="s">
        <v>114</v>
      </c>
      <c r="AZ95" s="22">
        <v>400</v>
      </c>
      <c r="BA95" s="22">
        <v>400</v>
      </c>
      <c r="BB95" s="22">
        <v>16</v>
      </c>
      <c r="BC95" s="22">
        <v>24</v>
      </c>
      <c r="BD95" s="22">
        <v>200</v>
      </c>
      <c r="BE95" s="22">
        <v>254.9</v>
      </c>
      <c r="BF95" s="22">
        <v>78000</v>
      </c>
      <c r="BG95" s="22">
        <v>26200</v>
      </c>
      <c r="BH95" s="22">
        <v>3840</v>
      </c>
      <c r="BI95" s="22">
        <v>1300</v>
      </c>
      <c r="BJ95" s="22">
        <v>17.5</v>
      </c>
      <c r="BK95" s="22">
        <v>10.1</v>
      </c>
    </row>
    <row r="96" spans="1:63" ht="22.5">
      <c r="A96" s="28"/>
      <c r="B96" s="28"/>
      <c r="C96" s="28"/>
      <c r="D96" s="28"/>
      <c r="E96" s="28"/>
      <c r="F96" s="28"/>
      <c r="G96" s="28"/>
      <c r="H96" s="28"/>
      <c r="I96" s="28"/>
      <c r="J96" s="28"/>
      <c r="W96" s="17"/>
      <c r="X96" s="24"/>
      <c r="Y96" s="17"/>
      <c r="Z96" s="24"/>
      <c r="AA96" s="17"/>
      <c r="AB96" s="24"/>
      <c r="AC96" s="17"/>
      <c r="AD96" s="24"/>
      <c r="AX96" s="22">
        <v>52</v>
      </c>
      <c r="AY96" s="22" t="s">
        <v>114</v>
      </c>
      <c r="AZ96" s="22">
        <v>400</v>
      </c>
      <c r="BA96" s="22">
        <v>400</v>
      </c>
      <c r="BB96" s="22">
        <v>18</v>
      </c>
      <c r="BC96" s="22">
        <v>28</v>
      </c>
      <c r="BD96" s="22">
        <v>232</v>
      </c>
      <c r="BE96" s="22">
        <v>295.4</v>
      </c>
      <c r="BF96" s="22">
        <v>92800</v>
      </c>
      <c r="BG96" s="22">
        <v>31000</v>
      </c>
      <c r="BH96" s="22">
        <v>4480</v>
      </c>
      <c r="BI96" s="22">
        <v>1530</v>
      </c>
      <c r="BJ96" s="22">
        <v>17.7</v>
      </c>
      <c r="BK96" s="22">
        <v>10.2</v>
      </c>
    </row>
    <row r="97" spans="1:63" ht="22.5">
      <c r="A97" s="28"/>
      <c r="B97" s="28"/>
      <c r="C97" s="28"/>
      <c r="D97" s="28"/>
      <c r="E97" s="28"/>
      <c r="F97" s="28"/>
      <c r="G97" s="28"/>
      <c r="H97" s="28"/>
      <c r="I97" s="28"/>
      <c r="J97" s="28"/>
      <c r="AX97" s="22">
        <v>53</v>
      </c>
      <c r="AY97" s="22" t="s">
        <v>114</v>
      </c>
      <c r="AZ97" s="22">
        <v>400</v>
      </c>
      <c r="BA97" s="22">
        <v>400</v>
      </c>
      <c r="BB97" s="22">
        <v>20</v>
      </c>
      <c r="BC97" s="22">
        <v>35</v>
      </c>
      <c r="BD97" s="22">
        <v>283</v>
      </c>
      <c r="BE97" s="22">
        <v>360.7</v>
      </c>
      <c r="BF97" s="22">
        <v>119000</v>
      </c>
      <c r="BG97" s="22">
        <v>39400</v>
      </c>
      <c r="BH97" s="22">
        <v>5570</v>
      </c>
      <c r="BI97" s="22">
        <v>1930</v>
      </c>
      <c r="BJ97" s="22">
        <v>18.2</v>
      </c>
      <c r="BK97" s="22">
        <v>10.4</v>
      </c>
    </row>
    <row r="98" spans="1:63" ht="22.5">
      <c r="A98" s="28"/>
      <c r="B98" s="28"/>
      <c r="C98" s="28"/>
      <c r="D98" s="28"/>
      <c r="E98" s="28"/>
      <c r="F98" s="28"/>
      <c r="G98" s="28"/>
      <c r="H98" s="28"/>
      <c r="I98" s="28"/>
      <c r="J98" s="28"/>
      <c r="AX98" s="22">
        <v>54</v>
      </c>
      <c r="AY98" s="22" t="s">
        <v>114</v>
      </c>
      <c r="AZ98" s="22">
        <v>400</v>
      </c>
      <c r="BA98" s="22">
        <v>400</v>
      </c>
      <c r="BB98" s="22">
        <v>30</v>
      </c>
      <c r="BC98" s="22">
        <v>50</v>
      </c>
      <c r="BD98" s="22">
        <v>415</v>
      </c>
      <c r="BE98" s="22">
        <v>528.6</v>
      </c>
      <c r="BF98" s="22">
        <v>187000</v>
      </c>
      <c r="BG98" s="22">
        <v>60500</v>
      </c>
      <c r="BH98" s="22">
        <v>8170</v>
      </c>
      <c r="BI98" s="22">
        <v>2900</v>
      </c>
      <c r="BJ98" s="22">
        <v>18.6</v>
      </c>
      <c r="BK98" s="22">
        <v>10.7</v>
      </c>
    </row>
    <row r="99" spans="1:64" ht="22.5">
      <c r="A99" s="28"/>
      <c r="B99" s="28"/>
      <c r="C99" s="28"/>
      <c r="D99" s="28"/>
      <c r="E99" s="28"/>
      <c r="F99" s="28"/>
      <c r="G99" s="28"/>
      <c r="H99" s="28"/>
      <c r="I99" s="28"/>
      <c r="J99" s="28"/>
      <c r="AX99" s="22">
        <v>55</v>
      </c>
      <c r="AY99" s="22" t="s">
        <v>114</v>
      </c>
      <c r="AZ99" s="22">
        <v>400</v>
      </c>
      <c r="BA99" s="22">
        <v>400</v>
      </c>
      <c r="BB99" s="22">
        <v>45</v>
      </c>
      <c r="BC99" s="22">
        <v>70</v>
      </c>
      <c r="BD99" s="22">
        <v>605</v>
      </c>
      <c r="BE99" s="22">
        <v>770.1</v>
      </c>
      <c r="BF99" s="22">
        <v>298000</v>
      </c>
      <c r="BG99" s="22">
        <v>94400</v>
      </c>
      <c r="BH99" s="22">
        <v>12000</v>
      </c>
      <c r="BI99" s="22">
        <v>4370</v>
      </c>
      <c r="BJ99" s="22">
        <v>19.7</v>
      </c>
      <c r="BK99" s="22">
        <v>11.1</v>
      </c>
      <c r="BL99" s="28"/>
    </row>
    <row r="100" spans="1:64" ht="22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AX100" s="22">
        <v>56</v>
      </c>
      <c r="AY100" s="22" t="s">
        <v>115</v>
      </c>
      <c r="AZ100" s="22">
        <v>400</v>
      </c>
      <c r="BA100" s="22">
        <v>200</v>
      </c>
      <c r="BB100" s="22">
        <v>8</v>
      </c>
      <c r="BC100" s="22">
        <v>12</v>
      </c>
      <c r="BD100" s="22">
        <v>66.2</v>
      </c>
      <c r="BE100" s="22">
        <v>84.3</v>
      </c>
      <c r="BF100" s="22">
        <v>26700</v>
      </c>
      <c r="BG100" s="22">
        <v>1580</v>
      </c>
      <c r="BH100" s="22">
        <v>1290</v>
      </c>
      <c r="BI100" s="22">
        <v>159</v>
      </c>
      <c r="BJ100" s="22">
        <v>18.5</v>
      </c>
      <c r="BK100" s="22">
        <v>4.33</v>
      </c>
      <c r="BL100" s="28"/>
    </row>
    <row r="101" spans="1:64" ht="22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AX101" s="22">
        <v>57</v>
      </c>
      <c r="AY101" s="22" t="s">
        <v>115</v>
      </c>
      <c r="AZ101" s="22">
        <v>450</v>
      </c>
      <c r="BA101" s="22">
        <v>200</v>
      </c>
      <c r="BB101" s="22">
        <v>9</v>
      </c>
      <c r="BC101" s="22">
        <v>14</v>
      </c>
      <c r="BD101" s="22">
        <v>76</v>
      </c>
      <c r="BE101" s="22">
        <v>96.76</v>
      </c>
      <c r="BF101" s="22">
        <v>33500</v>
      </c>
      <c r="BG101" s="22">
        <v>1870</v>
      </c>
      <c r="BH101" s="22">
        <v>1490</v>
      </c>
      <c r="BI101" s="22">
        <v>187</v>
      </c>
      <c r="BJ101" s="22">
        <v>18.6</v>
      </c>
      <c r="BK101" s="22">
        <v>4.4</v>
      </c>
      <c r="BL101" s="28"/>
    </row>
    <row r="102" spans="1:64" ht="22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AX102" s="22">
        <v>58</v>
      </c>
      <c r="AY102" s="22" t="s">
        <v>116</v>
      </c>
      <c r="AZ102" s="22">
        <v>400</v>
      </c>
      <c r="BA102" s="22">
        <v>300</v>
      </c>
      <c r="BB102" s="22">
        <v>10</v>
      </c>
      <c r="BC102" s="22">
        <v>15</v>
      </c>
      <c r="BD102" s="22">
        <v>106</v>
      </c>
      <c r="BE102" s="22">
        <v>135</v>
      </c>
      <c r="BF102" s="22">
        <v>46800</v>
      </c>
      <c r="BG102" s="22">
        <v>6690</v>
      </c>
      <c r="BH102" s="22">
        <v>2160</v>
      </c>
      <c r="BI102" s="22">
        <v>448</v>
      </c>
      <c r="BJ102" s="22">
        <v>18.6</v>
      </c>
      <c r="BK102" s="22">
        <v>7.04</v>
      </c>
      <c r="BL102" s="28"/>
    </row>
    <row r="103" spans="1:64" ht="22.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AX103" s="22">
        <v>59</v>
      </c>
      <c r="AY103" s="22" t="s">
        <v>116</v>
      </c>
      <c r="AZ103" s="22">
        <v>450</v>
      </c>
      <c r="BA103" s="22">
        <v>300</v>
      </c>
      <c r="BB103" s="22">
        <v>11</v>
      </c>
      <c r="BC103" s="22">
        <v>18</v>
      </c>
      <c r="BD103" s="22">
        <v>124</v>
      </c>
      <c r="BE103" s="22">
        <v>157.4</v>
      </c>
      <c r="BF103" s="22">
        <v>56100</v>
      </c>
      <c r="BG103" s="22">
        <v>8110</v>
      </c>
      <c r="BH103" s="22">
        <v>2550</v>
      </c>
      <c r="BI103" s="22">
        <v>541</v>
      </c>
      <c r="BJ103" s="22">
        <v>18.9</v>
      </c>
      <c r="BK103" s="22">
        <v>7.18</v>
      </c>
      <c r="BL103" s="28"/>
    </row>
    <row r="104" spans="1:64" ht="22.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AX104" s="22">
        <v>60</v>
      </c>
      <c r="AY104" s="22" t="s">
        <v>117</v>
      </c>
      <c r="AZ104" s="22">
        <v>500</v>
      </c>
      <c r="BA104" s="22">
        <v>200</v>
      </c>
      <c r="BB104" s="22">
        <v>9</v>
      </c>
      <c r="BC104" s="22">
        <v>14</v>
      </c>
      <c r="BD104" s="22">
        <v>79.5</v>
      </c>
      <c r="BE104" s="22">
        <v>101.3</v>
      </c>
      <c r="BF104" s="22">
        <v>41900</v>
      </c>
      <c r="BG104" s="22">
        <v>1840</v>
      </c>
      <c r="BH104" s="22">
        <v>1690</v>
      </c>
      <c r="BI104" s="22">
        <v>185</v>
      </c>
      <c r="BJ104" s="22">
        <v>20.3</v>
      </c>
      <c r="BK104" s="22">
        <v>4.27</v>
      </c>
      <c r="BL104" s="28"/>
    </row>
    <row r="105" spans="1:64" ht="22.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AX105" s="22">
        <v>61</v>
      </c>
      <c r="AY105" s="22" t="s">
        <v>117</v>
      </c>
      <c r="AZ105" s="22">
        <v>500</v>
      </c>
      <c r="BA105" s="22">
        <v>200</v>
      </c>
      <c r="BB105" s="22">
        <v>10</v>
      </c>
      <c r="BC105" s="22">
        <v>16</v>
      </c>
      <c r="BD105" s="22">
        <v>89.6</v>
      </c>
      <c r="BE105" s="22">
        <v>114.2</v>
      </c>
      <c r="BF105" s="22">
        <v>47800</v>
      </c>
      <c r="BG105" s="22">
        <v>2140</v>
      </c>
      <c r="BH105" s="22">
        <v>1910</v>
      </c>
      <c r="BI105" s="22">
        <v>214</v>
      </c>
      <c r="BJ105" s="22">
        <v>20.5</v>
      </c>
      <c r="BK105" s="22">
        <v>4.33</v>
      </c>
      <c r="BL105" s="28"/>
    </row>
    <row r="106" spans="1:64" ht="22.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AX106" s="22">
        <v>62</v>
      </c>
      <c r="AY106" s="22" t="s">
        <v>117</v>
      </c>
      <c r="AZ106" s="22">
        <v>500</v>
      </c>
      <c r="BA106" s="22">
        <v>200</v>
      </c>
      <c r="BB106" s="22">
        <v>11</v>
      </c>
      <c r="BC106" s="22">
        <v>19</v>
      </c>
      <c r="BD106" s="22">
        <v>103</v>
      </c>
      <c r="BE106" s="22">
        <v>131.3</v>
      </c>
      <c r="BF106" s="22">
        <v>56500</v>
      </c>
      <c r="BG106" s="22">
        <v>2580</v>
      </c>
      <c r="BH106" s="22">
        <v>2230</v>
      </c>
      <c r="BI106" s="22">
        <v>257</v>
      </c>
      <c r="BJ106" s="22">
        <v>20.7</v>
      </c>
      <c r="BK106" s="22">
        <v>4.43</v>
      </c>
      <c r="BL106" s="28"/>
    </row>
    <row r="107" spans="1:64" ht="22.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AX107" s="22">
        <v>63</v>
      </c>
      <c r="AY107" s="22" t="s">
        <v>118</v>
      </c>
      <c r="AZ107" s="22">
        <v>500</v>
      </c>
      <c r="BA107" s="22">
        <v>300</v>
      </c>
      <c r="BB107" s="22">
        <v>11</v>
      </c>
      <c r="BC107" s="22">
        <v>15</v>
      </c>
      <c r="BD107" s="22">
        <v>114</v>
      </c>
      <c r="BE107" s="22">
        <v>145.5</v>
      </c>
      <c r="BF107" s="22">
        <v>60400</v>
      </c>
      <c r="BG107" s="22">
        <v>6760</v>
      </c>
      <c r="BH107" s="22">
        <v>2500</v>
      </c>
      <c r="BI107" s="22">
        <v>451</v>
      </c>
      <c r="BJ107" s="22">
        <v>20.4</v>
      </c>
      <c r="BK107" s="22">
        <v>6.82</v>
      </c>
      <c r="BL107" s="28"/>
    </row>
    <row r="108" spans="1:64" ht="22.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AX108" s="22">
        <v>64</v>
      </c>
      <c r="AY108" s="22" t="s">
        <v>118</v>
      </c>
      <c r="AZ108" s="22">
        <v>500</v>
      </c>
      <c r="BA108" s="22">
        <v>300</v>
      </c>
      <c r="BB108" s="22">
        <v>11</v>
      </c>
      <c r="BC108" s="22">
        <v>18</v>
      </c>
      <c r="BD108" s="22">
        <v>128</v>
      </c>
      <c r="BE108" s="22">
        <v>163.5</v>
      </c>
      <c r="BF108" s="22">
        <v>71000</v>
      </c>
      <c r="BG108" s="22">
        <v>8110</v>
      </c>
      <c r="BH108" s="22">
        <v>2910</v>
      </c>
      <c r="BI108" s="22">
        <v>541</v>
      </c>
      <c r="BJ108" s="22">
        <v>20.8</v>
      </c>
      <c r="BK108" s="22">
        <v>7.04</v>
      </c>
      <c r="BL108" s="28"/>
    </row>
    <row r="109" spans="1:64" ht="22.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AX109" s="22">
        <v>65</v>
      </c>
      <c r="AY109" s="22" t="s">
        <v>119</v>
      </c>
      <c r="AZ109" s="22">
        <v>600</v>
      </c>
      <c r="BA109" s="22">
        <v>200</v>
      </c>
      <c r="BB109" s="22">
        <v>10</v>
      </c>
      <c r="BC109" s="22">
        <v>15</v>
      </c>
      <c r="BD109" s="22">
        <v>94.6</v>
      </c>
      <c r="BE109" s="22">
        <v>120.5</v>
      </c>
      <c r="BF109" s="22">
        <v>68700</v>
      </c>
      <c r="BG109" s="22">
        <v>1980</v>
      </c>
      <c r="BH109" s="22">
        <v>2310</v>
      </c>
      <c r="BI109" s="22">
        <v>199</v>
      </c>
      <c r="BJ109" s="22">
        <v>23.9</v>
      </c>
      <c r="BK109" s="22">
        <v>4.05</v>
      </c>
      <c r="BL109" s="28"/>
    </row>
    <row r="110" spans="1:64" ht="22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AX110" s="22">
        <v>66</v>
      </c>
      <c r="AY110" s="22" t="s">
        <v>119</v>
      </c>
      <c r="AZ110" s="22">
        <v>600</v>
      </c>
      <c r="BA110" s="22">
        <v>200</v>
      </c>
      <c r="BB110" s="22">
        <v>11</v>
      </c>
      <c r="BC110" s="22">
        <v>17</v>
      </c>
      <c r="BD110" s="22">
        <v>106</v>
      </c>
      <c r="BE110" s="22">
        <v>134.4</v>
      </c>
      <c r="BF110" s="22">
        <v>77600</v>
      </c>
      <c r="BG110" s="22">
        <v>2280</v>
      </c>
      <c r="BH110" s="22">
        <v>2590</v>
      </c>
      <c r="BI110" s="22">
        <v>228</v>
      </c>
      <c r="BJ110" s="22">
        <v>24</v>
      </c>
      <c r="BK110" s="22">
        <v>4.12</v>
      </c>
      <c r="BL110" s="28"/>
    </row>
    <row r="111" spans="1:64" ht="22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AX111" s="22">
        <v>67</v>
      </c>
      <c r="AY111" s="22" t="s">
        <v>119</v>
      </c>
      <c r="AZ111" s="22">
        <v>600</v>
      </c>
      <c r="BA111" s="22">
        <v>200</v>
      </c>
      <c r="BB111" s="22">
        <v>12</v>
      </c>
      <c r="BC111" s="22">
        <v>20</v>
      </c>
      <c r="BD111" s="22">
        <v>120</v>
      </c>
      <c r="BE111" s="22">
        <v>152.5</v>
      </c>
      <c r="BF111" s="22">
        <v>90400</v>
      </c>
      <c r="BG111" s="22">
        <v>2720</v>
      </c>
      <c r="BH111" s="22">
        <v>2980</v>
      </c>
      <c r="BI111" s="22">
        <v>271</v>
      </c>
      <c r="BJ111" s="22">
        <v>24.3</v>
      </c>
      <c r="BK111" s="22">
        <v>4.22</v>
      </c>
      <c r="BL111" s="28"/>
    </row>
    <row r="112" spans="1:64" ht="22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AX112" s="22">
        <v>68</v>
      </c>
      <c r="AY112" s="22" t="s">
        <v>119</v>
      </c>
      <c r="AZ112" s="22">
        <v>600</v>
      </c>
      <c r="BA112" s="22">
        <v>200</v>
      </c>
      <c r="BB112" s="22">
        <v>13</v>
      </c>
      <c r="BC112" s="22">
        <v>23</v>
      </c>
      <c r="BD112" s="22">
        <v>134</v>
      </c>
      <c r="BE112" s="22">
        <v>107.7</v>
      </c>
      <c r="BF112" s="22">
        <v>103000</v>
      </c>
      <c r="BG112" s="22">
        <v>3180</v>
      </c>
      <c r="BH112" s="22">
        <v>3380</v>
      </c>
      <c r="BI112" s="22">
        <v>314</v>
      </c>
      <c r="BJ112" s="22">
        <v>24.6</v>
      </c>
      <c r="BK112" s="22">
        <v>4.31</v>
      </c>
      <c r="BL112" s="28"/>
    </row>
    <row r="113" spans="1:64" ht="22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AX113" s="22">
        <v>69</v>
      </c>
      <c r="AY113" s="22" t="s">
        <v>120</v>
      </c>
      <c r="AZ113" s="22">
        <v>600</v>
      </c>
      <c r="BA113" s="22">
        <v>300</v>
      </c>
      <c r="BB113" s="22">
        <v>12</v>
      </c>
      <c r="BC113" s="22">
        <v>17</v>
      </c>
      <c r="BD113" s="22">
        <v>137</v>
      </c>
      <c r="BE113" s="22">
        <v>174.5</v>
      </c>
      <c r="BF113" s="22">
        <v>103000</v>
      </c>
      <c r="BG113" s="22">
        <v>7670</v>
      </c>
      <c r="BH113" s="22">
        <v>3530</v>
      </c>
      <c r="BI113" s="22">
        <v>511</v>
      </c>
      <c r="BJ113" s="22">
        <v>24.3</v>
      </c>
      <c r="BK113" s="22">
        <v>6.63</v>
      </c>
      <c r="BL113" s="28"/>
    </row>
    <row r="114" spans="1:64" ht="22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AX114" s="22">
        <v>70</v>
      </c>
      <c r="AY114" s="22" t="s">
        <v>120</v>
      </c>
      <c r="AZ114" s="22">
        <v>600</v>
      </c>
      <c r="BA114" s="22">
        <v>300</v>
      </c>
      <c r="BB114" s="22">
        <v>12</v>
      </c>
      <c r="BC114" s="22">
        <v>20</v>
      </c>
      <c r="BD114" s="22">
        <v>151</v>
      </c>
      <c r="BE114" s="22">
        <v>192.5</v>
      </c>
      <c r="BF114" s="22">
        <v>118000</v>
      </c>
      <c r="BG114" s="22">
        <v>9020</v>
      </c>
      <c r="BH114" s="22">
        <v>4020</v>
      </c>
      <c r="BI114" s="22">
        <v>601</v>
      </c>
      <c r="BJ114" s="22">
        <v>24.8</v>
      </c>
      <c r="BK114" s="22">
        <v>6.85</v>
      </c>
      <c r="BL114" s="28"/>
    </row>
    <row r="115" spans="1:64" ht="22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AX115" s="22">
        <v>71</v>
      </c>
      <c r="AY115" s="22" t="s">
        <v>120</v>
      </c>
      <c r="AZ115" s="22">
        <v>600</v>
      </c>
      <c r="BA115" s="22">
        <v>300</v>
      </c>
      <c r="BB115" s="22">
        <v>14</v>
      </c>
      <c r="BC115" s="22">
        <v>23</v>
      </c>
      <c r="BD115" s="22">
        <v>175</v>
      </c>
      <c r="BE115" s="22">
        <v>222.4</v>
      </c>
      <c r="BF115" s="22">
        <v>137000</v>
      </c>
      <c r="BG115" s="22">
        <v>10600</v>
      </c>
      <c r="BH115" s="22">
        <v>4620</v>
      </c>
      <c r="BI115" s="22">
        <v>701</v>
      </c>
      <c r="BJ115" s="22">
        <v>24.9</v>
      </c>
      <c r="BK115" s="22">
        <v>6.9</v>
      </c>
      <c r="BL115" s="28"/>
    </row>
    <row r="116" spans="1:64" ht="22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AX116" s="22">
        <v>72</v>
      </c>
      <c r="AY116" s="22" t="s">
        <v>121</v>
      </c>
      <c r="AZ116" s="22">
        <v>700</v>
      </c>
      <c r="BA116" s="22">
        <v>300</v>
      </c>
      <c r="BB116" s="22">
        <v>13</v>
      </c>
      <c r="BC116" s="22">
        <v>20</v>
      </c>
      <c r="BD116" s="22">
        <v>166</v>
      </c>
      <c r="BE116" s="22">
        <v>211.5</v>
      </c>
      <c r="BF116" s="22">
        <v>172000</v>
      </c>
      <c r="BG116" s="22">
        <v>9020</v>
      </c>
      <c r="BH116" s="22">
        <v>4980</v>
      </c>
      <c r="BI116" s="22">
        <v>602</v>
      </c>
      <c r="BJ116" s="22">
        <v>28.6</v>
      </c>
      <c r="BK116" s="22">
        <v>6.53</v>
      </c>
      <c r="BL116" s="28"/>
    </row>
    <row r="117" spans="1:64" ht="22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AX117" s="22">
        <v>73</v>
      </c>
      <c r="AY117" s="22" t="s">
        <v>121</v>
      </c>
      <c r="AZ117" s="22">
        <v>700</v>
      </c>
      <c r="BA117" s="22">
        <v>300</v>
      </c>
      <c r="BB117" s="22">
        <v>13</v>
      </c>
      <c r="BC117" s="22">
        <v>24</v>
      </c>
      <c r="BD117" s="22">
        <v>185</v>
      </c>
      <c r="BE117" s="22">
        <v>235.5</v>
      </c>
      <c r="BF117" s="22">
        <v>201000</v>
      </c>
      <c r="BG117" s="22">
        <v>10800</v>
      </c>
      <c r="BH117" s="22">
        <v>5760</v>
      </c>
      <c r="BI117" s="22">
        <v>722</v>
      </c>
      <c r="BJ117" s="22">
        <v>29.3</v>
      </c>
      <c r="BK117" s="22">
        <v>6.78</v>
      </c>
      <c r="BL117" s="28"/>
    </row>
    <row r="118" spans="1:64" ht="22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AX118" s="22">
        <v>74</v>
      </c>
      <c r="AY118" s="22" t="s">
        <v>121</v>
      </c>
      <c r="AZ118" s="22">
        <v>700</v>
      </c>
      <c r="BA118" s="22">
        <v>300</v>
      </c>
      <c r="BB118" s="22">
        <v>15</v>
      </c>
      <c r="BC118" s="22">
        <v>28</v>
      </c>
      <c r="BD118" s="22">
        <v>215</v>
      </c>
      <c r="BE118" s="22">
        <v>273.6</v>
      </c>
      <c r="BF118" s="22">
        <v>237000</v>
      </c>
      <c r="BG118" s="22">
        <v>12900</v>
      </c>
      <c r="BH118" s="22">
        <v>6700</v>
      </c>
      <c r="BI118" s="22">
        <v>653</v>
      </c>
      <c r="BJ118" s="22">
        <v>29.4</v>
      </c>
      <c r="BK118" s="22">
        <v>6.86</v>
      </c>
      <c r="BL118" s="28"/>
    </row>
    <row r="119" spans="1:64" ht="22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AX119" s="22">
        <v>75</v>
      </c>
      <c r="AY119" s="22" t="s">
        <v>122</v>
      </c>
      <c r="AZ119" s="22">
        <v>800</v>
      </c>
      <c r="BA119" s="22">
        <v>300</v>
      </c>
      <c r="BB119" s="22">
        <v>14</v>
      </c>
      <c r="BC119" s="22">
        <v>22</v>
      </c>
      <c r="BD119" s="22">
        <v>191</v>
      </c>
      <c r="BE119" s="22">
        <v>243.4</v>
      </c>
      <c r="BF119" s="22">
        <v>254000</v>
      </c>
      <c r="BG119" s="22">
        <v>9930</v>
      </c>
      <c r="BH119" s="22">
        <v>6410</v>
      </c>
      <c r="BI119" s="22">
        <v>662</v>
      </c>
      <c r="BJ119" s="22">
        <v>32.3</v>
      </c>
      <c r="BK119" s="22">
        <v>6.39</v>
      </c>
      <c r="BL119" s="28"/>
    </row>
    <row r="120" spans="1:64" ht="22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AX120" s="22">
        <v>76</v>
      </c>
      <c r="AY120" s="22" t="s">
        <v>122</v>
      </c>
      <c r="AZ120" s="22">
        <v>800</v>
      </c>
      <c r="BA120" s="22">
        <v>300</v>
      </c>
      <c r="BB120" s="22">
        <v>14</v>
      </c>
      <c r="BC120" s="22">
        <v>26</v>
      </c>
      <c r="BD120" s="22">
        <v>210</v>
      </c>
      <c r="BE120" s="22">
        <v>267.4</v>
      </c>
      <c r="BF120" s="22">
        <v>292000</v>
      </c>
      <c r="BG120" s="22">
        <v>11700</v>
      </c>
      <c r="BH120" s="22">
        <v>7290</v>
      </c>
      <c r="BI120" s="22">
        <v>782</v>
      </c>
      <c r="BJ120" s="22">
        <v>33</v>
      </c>
      <c r="BK120" s="22">
        <v>6.62</v>
      </c>
      <c r="BL120" s="28"/>
    </row>
    <row r="121" spans="1:64" ht="22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AX121" s="22">
        <v>77</v>
      </c>
      <c r="AY121" s="22" t="s">
        <v>122</v>
      </c>
      <c r="AZ121" s="22">
        <v>800</v>
      </c>
      <c r="BA121" s="22">
        <v>300</v>
      </c>
      <c r="BB121" s="22">
        <v>16</v>
      </c>
      <c r="BC121" s="22">
        <v>30</v>
      </c>
      <c r="BD121" s="22">
        <v>241</v>
      </c>
      <c r="BE121" s="22">
        <v>307.6</v>
      </c>
      <c r="BF121" s="22">
        <v>339000</v>
      </c>
      <c r="BG121" s="22">
        <v>13800</v>
      </c>
      <c r="BH121" s="22">
        <v>8400</v>
      </c>
      <c r="BI121" s="22">
        <v>915</v>
      </c>
      <c r="BJ121" s="22">
        <v>33.2</v>
      </c>
      <c r="BK121" s="22">
        <v>6.7</v>
      </c>
      <c r="BL121" s="28"/>
    </row>
    <row r="122" spans="1:64" ht="22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AX122" s="22">
        <v>78</v>
      </c>
      <c r="AY122" s="22" t="s">
        <v>123</v>
      </c>
      <c r="AZ122" s="22">
        <v>900</v>
      </c>
      <c r="BA122" s="22">
        <v>300</v>
      </c>
      <c r="BB122" s="22">
        <v>15</v>
      </c>
      <c r="BC122" s="22">
        <v>23</v>
      </c>
      <c r="BD122" s="22">
        <v>213</v>
      </c>
      <c r="BE122" s="22">
        <v>270.9</v>
      </c>
      <c r="BF122" s="22">
        <v>345000</v>
      </c>
      <c r="BG122" s="22">
        <v>10300</v>
      </c>
      <c r="BH122" s="22">
        <v>7760</v>
      </c>
      <c r="BI122" s="22">
        <v>688</v>
      </c>
      <c r="BJ122" s="22">
        <v>35.7</v>
      </c>
      <c r="BK122" s="22">
        <v>6.16</v>
      </c>
      <c r="BL122" s="28"/>
    </row>
    <row r="123" spans="50:64" ht="22.5">
      <c r="AX123" s="22">
        <v>79</v>
      </c>
      <c r="AY123" s="22" t="s">
        <v>123</v>
      </c>
      <c r="AZ123" s="22">
        <v>900</v>
      </c>
      <c r="BA123" s="22">
        <v>300</v>
      </c>
      <c r="BB123" s="22">
        <v>16</v>
      </c>
      <c r="BC123" s="22">
        <v>28</v>
      </c>
      <c r="BD123" s="22">
        <v>243</v>
      </c>
      <c r="BE123" s="22">
        <v>309.8</v>
      </c>
      <c r="BF123" s="22">
        <v>410000</v>
      </c>
      <c r="BG123" s="22">
        <v>12600</v>
      </c>
      <c r="BH123" s="22">
        <v>9140</v>
      </c>
      <c r="BI123" s="22">
        <v>843</v>
      </c>
      <c r="BJ123" s="22">
        <v>36.4</v>
      </c>
      <c r="BK123" s="22">
        <v>6.39</v>
      </c>
      <c r="BL123" s="28"/>
    </row>
    <row r="124" spans="50:64" ht="22.5">
      <c r="AX124" s="25">
        <v>80</v>
      </c>
      <c r="AY124" s="25" t="s">
        <v>123</v>
      </c>
      <c r="AZ124" s="25">
        <v>900</v>
      </c>
      <c r="BA124" s="25">
        <v>300</v>
      </c>
      <c r="BB124" s="25">
        <v>18</v>
      </c>
      <c r="BC124" s="25">
        <v>34</v>
      </c>
      <c r="BD124" s="25">
        <v>286</v>
      </c>
      <c r="BE124" s="25">
        <v>364</v>
      </c>
      <c r="BF124" s="25">
        <v>498000</v>
      </c>
      <c r="BG124" s="25">
        <v>15700</v>
      </c>
      <c r="BH124" s="25">
        <v>10900</v>
      </c>
      <c r="BI124" s="25">
        <v>1040</v>
      </c>
      <c r="BJ124" s="25">
        <v>37</v>
      </c>
      <c r="BK124" s="25">
        <v>6.56</v>
      </c>
      <c r="BL124" s="28"/>
    </row>
  </sheetData>
  <sheetProtection/>
  <mergeCells count="21">
    <mergeCell ref="AX42:BK42"/>
    <mergeCell ref="AX43:AX44"/>
    <mergeCell ref="AH43:AH44"/>
    <mergeCell ref="AH42:AU42"/>
    <mergeCell ref="AI1:AR1"/>
    <mergeCell ref="T67:V67"/>
    <mergeCell ref="T68:V68"/>
    <mergeCell ref="P42:AC42"/>
    <mergeCell ref="P70:T70"/>
    <mergeCell ref="P68:S68"/>
    <mergeCell ref="AG43:AG44"/>
    <mergeCell ref="T1:AD1"/>
    <mergeCell ref="A43:A44"/>
    <mergeCell ref="P72:T72"/>
    <mergeCell ref="A1:H1"/>
    <mergeCell ref="A2:A3"/>
    <mergeCell ref="P67:S67"/>
    <mergeCell ref="P71:T71"/>
    <mergeCell ref="A42:M42"/>
    <mergeCell ref="S2:S3"/>
    <mergeCell ref="P69:T69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84"/>
  <sheetViews>
    <sheetView showGridLines="0" showOutlineSymbols="0" zoomScale="70" zoomScaleNormal="70" zoomScalePageLayoutView="0" workbookViewId="0" topLeftCell="A4">
      <selection activeCell="B4" sqref="A1:B16384"/>
    </sheetView>
  </sheetViews>
  <sheetFormatPr defaultColWidth="9.140625" defaultRowHeight="23.25"/>
  <cols>
    <col min="4" max="4" width="39.140625" style="0" customWidth="1"/>
  </cols>
  <sheetData>
    <row r="2" spans="3:16" ht="22.5">
      <c r="C2" s="135" t="s">
        <v>48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3:26" ht="22.5">
      <c r="C3" s="132" t="s">
        <v>14</v>
      </c>
      <c r="D3" s="4" t="s">
        <v>22</v>
      </c>
      <c r="E3" s="4" t="s">
        <v>4</v>
      </c>
      <c r="F3" s="4" t="s">
        <v>6</v>
      </c>
      <c r="G3" s="4" t="s">
        <v>49</v>
      </c>
      <c r="H3" s="4" t="s">
        <v>50</v>
      </c>
      <c r="I3" s="4" t="s">
        <v>17</v>
      </c>
      <c r="J3" s="4" t="s">
        <v>18</v>
      </c>
      <c r="K3" s="4" t="s">
        <v>19</v>
      </c>
      <c r="L3" s="4" t="s">
        <v>19</v>
      </c>
      <c r="M3" s="4" t="s">
        <v>20</v>
      </c>
      <c r="N3" s="4" t="s">
        <v>20</v>
      </c>
      <c r="O3" s="4" t="s">
        <v>21</v>
      </c>
      <c r="P3" s="4" t="s">
        <v>21</v>
      </c>
      <c r="W3" s="28"/>
      <c r="X3" s="28"/>
      <c r="Y3" s="28"/>
      <c r="Z3" s="28"/>
    </row>
    <row r="4" spans="3:26" ht="25.5">
      <c r="C4" s="133"/>
      <c r="D4" s="4" t="s">
        <v>27</v>
      </c>
      <c r="E4" s="4" t="s">
        <v>27</v>
      </c>
      <c r="F4" s="4" t="s">
        <v>27</v>
      </c>
      <c r="G4" s="4" t="s">
        <v>27</v>
      </c>
      <c r="H4" s="4" t="s">
        <v>27</v>
      </c>
      <c r="I4" s="4" t="s">
        <v>28</v>
      </c>
      <c r="J4" s="4" t="s">
        <v>124</v>
      </c>
      <c r="K4" s="4" t="s">
        <v>127</v>
      </c>
      <c r="L4" s="4" t="s">
        <v>128</v>
      </c>
      <c r="M4" s="4" t="s">
        <v>129</v>
      </c>
      <c r="N4" s="4" t="s">
        <v>130</v>
      </c>
      <c r="O4" s="4" t="s">
        <v>51</v>
      </c>
      <c r="P4" s="4" t="s">
        <v>52</v>
      </c>
      <c r="W4" s="17"/>
      <c r="X4" s="139"/>
      <c r="Y4" s="139"/>
      <c r="Z4" s="139"/>
    </row>
    <row r="5" spans="1:26" ht="22.5">
      <c r="A5" s="9"/>
      <c r="C5" s="15">
        <v>1</v>
      </c>
      <c r="D5" s="110" t="str">
        <f>"H- "&amp;E5&amp;"*"&amp;F5&amp;" mm.("&amp;I5&amp;" kg./m.)"</f>
        <v>H- 100*50 mm.(9.3 kg./m.)</v>
      </c>
      <c r="E5" s="15">
        <v>100</v>
      </c>
      <c r="F5" s="15">
        <v>50</v>
      </c>
      <c r="G5" s="15">
        <v>5</v>
      </c>
      <c r="H5" s="15">
        <v>7</v>
      </c>
      <c r="I5" s="15">
        <v>9.3</v>
      </c>
      <c r="J5" s="15">
        <v>11.85</v>
      </c>
      <c r="K5" s="15">
        <v>187</v>
      </c>
      <c r="L5" s="15">
        <v>14.8</v>
      </c>
      <c r="M5" s="15">
        <v>37.5</v>
      </c>
      <c r="N5" s="15">
        <v>5.91</v>
      </c>
      <c r="O5" s="15">
        <v>3.98</v>
      </c>
      <c r="P5" s="15">
        <v>1.12</v>
      </c>
      <c r="Q5" s="9">
        <f>composite!D42</f>
        <v>1</v>
      </c>
      <c r="W5" s="17"/>
      <c r="X5" s="139"/>
      <c r="Y5" s="139"/>
      <c r="Z5" s="139"/>
    </row>
    <row r="6" spans="1:26" ht="22.5">
      <c r="A6" s="17"/>
      <c r="B6" s="13"/>
      <c r="C6" s="22">
        <v>2</v>
      </c>
      <c r="D6" s="110" t="str">
        <f aca="true" t="shared" si="0" ref="D6:D69">"H- "&amp;E6&amp;"*"&amp;F6&amp;" mm.("&amp;I6&amp;" kg./m.)"</f>
        <v>H- 100*100 mm.(17.2 kg./m.)</v>
      </c>
      <c r="E6" s="22">
        <v>100</v>
      </c>
      <c r="F6" s="22">
        <v>100</v>
      </c>
      <c r="G6" s="22">
        <v>6</v>
      </c>
      <c r="H6" s="22">
        <v>8</v>
      </c>
      <c r="I6" s="22">
        <v>17.2</v>
      </c>
      <c r="J6" s="22">
        <v>21.9</v>
      </c>
      <c r="K6" s="22">
        <v>383</v>
      </c>
      <c r="L6" s="22">
        <v>134</v>
      </c>
      <c r="M6" s="22">
        <v>76.5</v>
      </c>
      <c r="N6" s="22">
        <v>26.7</v>
      </c>
      <c r="O6" s="22">
        <v>4.18</v>
      </c>
      <c r="P6" s="22">
        <v>2.47</v>
      </c>
      <c r="Q6" s="17" t="s">
        <v>31</v>
      </c>
      <c r="R6" s="14" t="str">
        <f>VLOOKUP($Q$5,$C$5:$P$84,2)</f>
        <v>H- 100*50 mm.(9.3 kg./m.)</v>
      </c>
      <c r="W6" s="134"/>
      <c r="X6" s="134"/>
      <c r="Y6" s="28"/>
      <c r="Z6" s="28"/>
    </row>
    <row r="7" spans="1:26" ht="22.5">
      <c r="A7" s="17"/>
      <c r="B7" s="13"/>
      <c r="C7" s="22">
        <v>3</v>
      </c>
      <c r="D7" s="110" t="str">
        <f t="shared" si="0"/>
        <v>H- 125*60 mm.(13.2 kg./m.)</v>
      </c>
      <c r="E7" s="22">
        <v>125</v>
      </c>
      <c r="F7" s="22">
        <v>60</v>
      </c>
      <c r="G7" s="22">
        <v>6</v>
      </c>
      <c r="H7" s="22">
        <v>8</v>
      </c>
      <c r="I7" s="22">
        <v>13.2</v>
      </c>
      <c r="J7" s="22">
        <v>16.84</v>
      </c>
      <c r="K7" s="22">
        <v>413</v>
      </c>
      <c r="L7" s="22">
        <v>29.2</v>
      </c>
      <c r="M7" s="22">
        <v>66.1</v>
      </c>
      <c r="N7" s="22">
        <v>9.73</v>
      </c>
      <c r="O7" s="22">
        <v>4.95</v>
      </c>
      <c r="P7" s="22">
        <v>1.321</v>
      </c>
      <c r="Q7" s="17" t="s">
        <v>4</v>
      </c>
      <c r="R7" s="13">
        <f>VLOOKUP($Q$5,$C$5:$P$84,3)</f>
        <v>100</v>
      </c>
      <c r="W7" s="134"/>
      <c r="X7" s="134"/>
      <c r="Y7" s="28"/>
      <c r="Z7" s="28"/>
    </row>
    <row r="8" spans="1:26" ht="22.5">
      <c r="A8" s="17"/>
      <c r="B8" s="13"/>
      <c r="C8" s="22">
        <v>4</v>
      </c>
      <c r="D8" s="110" t="str">
        <f t="shared" si="0"/>
        <v>H- 125*125 mm.(23.8 kg./m.)</v>
      </c>
      <c r="E8" s="22">
        <v>125</v>
      </c>
      <c r="F8" s="22">
        <v>125</v>
      </c>
      <c r="G8" s="22">
        <v>6.5</v>
      </c>
      <c r="H8" s="22">
        <v>9</v>
      </c>
      <c r="I8" s="22">
        <v>23.8</v>
      </c>
      <c r="J8" s="22">
        <v>30.31</v>
      </c>
      <c r="K8" s="22">
        <v>847</v>
      </c>
      <c r="L8" s="22">
        <v>293</v>
      </c>
      <c r="M8" s="22">
        <v>136</v>
      </c>
      <c r="N8" s="22">
        <v>47</v>
      </c>
      <c r="O8" s="22">
        <v>5.29</v>
      </c>
      <c r="P8" s="22">
        <v>3.11</v>
      </c>
      <c r="Q8" s="17" t="s">
        <v>6</v>
      </c>
      <c r="R8" s="13">
        <f>VLOOKUP($Q$5,$C$5:$P$84,4)</f>
        <v>50</v>
      </c>
      <c r="W8" s="134"/>
      <c r="X8" s="134"/>
      <c r="Y8" s="28"/>
      <c r="Z8" s="28"/>
    </row>
    <row r="9" spans="1:26" ht="22.5">
      <c r="A9" s="17"/>
      <c r="B9" s="13"/>
      <c r="C9" s="39">
        <v>5</v>
      </c>
      <c r="D9" s="110" t="str">
        <f t="shared" si="0"/>
        <v>H- 150*75 mm.(14 kg./m.)</v>
      </c>
      <c r="E9" s="22">
        <v>150</v>
      </c>
      <c r="F9" s="22">
        <v>75</v>
      </c>
      <c r="G9" s="22">
        <v>5</v>
      </c>
      <c r="H9" s="22">
        <v>7</v>
      </c>
      <c r="I9" s="22">
        <v>14</v>
      </c>
      <c r="J9" s="22">
        <v>17.85</v>
      </c>
      <c r="K9" s="22">
        <v>666</v>
      </c>
      <c r="L9" s="22">
        <v>49.5</v>
      </c>
      <c r="M9" s="22">
        <v>88.8</v>
      </c>
      <c r="N9" s="22">
        <v>13.2</v>
      </c>
      <c r="O9" s="22">
        <v>6.11</v>
      </c>
      <c r="P9" s="22">
        <v>1.66</v>
      </c>
      <c r="Q9" s="17" t="s">
        <v>33</v>
      </c>
      <c r="R9" s="13">
        <f>VLOOKUP($Q$5,$C$5:$P$84,5)</f>
        <v>5</v>
      </c>
      <c r="W9" s="134"/>
      <c r="X9" s="134"/>
      <c r="Y9" s="28"/>
      <c r="Z9" s="28"/>
    </row>
    <row r="10" spans="1:26" ht="22.5">
      <c r="A10" s="17"/>
      <c r="B10" s="13"/>
      <c r="C10" s="22">
        <v>6</v>
      </c>
      <c r="D10" s="110" t="str">
        <f t="shared" si="0"/>
        <v>H- 150*100 mm.(21.1 kg./m.)</v>
      </c>
      <c r="E10" s="22">
        <v>150</v>
      </c>
      <c r="F10" s="22">
        <v>100</v>
      </c>
      <c r="G10" s="22">
        <v>6</v>
      </c>
      <c r="H10" s="22">
        <v>9</v>
      </c>
      <c r="I10" s="22">
        <v>21.1</v>
      </c>
      <c r="J10" s="22">
        <v>26.84</v>
      </c>
      <c r="K10" s="22">
        <v>1020</v>
      </c>
      <c r="L10" s="22">
        <v>151</v>
      </c>
      <c r="M10" s="22">
        <v>138</v>
      </c>
      <c r="N10" s="22">
        <v>30.1</v>
      </c>
      <c r="O10" s="22">
        <v>6.71</v>
      </c>
      <c r="P10" s="22">
        <v>2.37</v>
      </c>
      <c r="Q10" s="17" t="s">
        <v>35</v>
      </c>
      <c r="R10" s="13">
        <f>VLOOKUP($Q$5,$C$5:$P$84,6)</f>
        <v>7</v>
      </c>
      <c r="W10" s="17"/>
      <c r="X10" s="17"/>
      <c r="Y10" s="17"/>
      <c r="Z10" s="17"/>
    </row>
    <row r="11" spans="1:18" ht="22.5">
      <c r="A11" s="17"/>
      <c r="B11" s="13"/>
      <c r="C11" s="22">
        <v>7</v>
      </c>
      <c r="D11" s="110" t="str">
        <f t="shared" si="0"/>
        <v>H- 150*150 mm.(31.5 kg./m.)</v>
      </c>
      <c r="E11" s="22">
        <v>150</v>
      </c>
      <c r="F11" s="22">
        <v>150</v>
      </c>
      <c r="G11" s="22">
        <v>7</v>
      </c>
      <c r="H11" s="22">
        <v>10</v>
      </c>
      <c r="I11" s="22">
        <v>31.5</v>
      </c>
      <c r="J11" s="22">
        <v>40.14</v>
      </c>
      <c r="K11" s="22">
        <v>1640</v>
      </c>
      <c r="L11" s="22">
        <v>563</v>
      </c>
      <c r="M11" s="22">
        <v>219</v>
      </c>
      <c r="N11" s="22">
        <v>75.1</v>
      </c>
      <c r="O11" s="22">
        <v>6.39</v>
      </c>
      <c r="P11" s="22">
        <v>3.75</v>
      </c>
      <c r="Q11" s="17" t="s">
        <v>38</v>
      </c>
      <c r="R11" s="13">
        <f>VLOOKUP($Q$5,$C$5:$P$84,7)</f>
        <v>9.3</v>
      </c>
    </row>
    <row r="12" spans="1:18" ht="22.5">
      <c r="A12" s="17"/>
      <c r="B12" s="13"/>
      <c r="C12" s="22">
        <v>8</v>
      </c>
      <c r="D12" s="110" t="str">
        <f t="shared" si="0"/>
        <v>H- 175*125 mm.(23.3 kg./m.)</v>
      </c>
      <c r="E12" s="22">
        <v>175</v>
      </c>
      <c r="F12" s="22">
        <v>125</v>
      </c>
      <c r="G12" s="22">
        <v>5.5</v>
      </c>
      <c r="H12" s="22">
        <v>8</v>
      </c>
      <c r="I12" s="22">
        <v>23.3</v>
      </c>
      <c r="J12" s="22">
        <v>29.65</v>
      </c>
      <c r="K12" s="22">
        <v>1530</v>
      </c>
      <c r="L12" s="22">
        <v>261</v>
      </c>
      <c r="M12" s="22">
        <v>181</v>
      </c>
      <c r="N12" s="22">
        <v>41.8</v>
      </c>
      <c r="O12" s="22">
        <v>7.18</v>
      </c>
      <c r="P12" s="22">
        <v>2.97</v>
      </c>
      <c r="Q12" s="17" t="s">
        <v>36</v>
      </c>
      <c r="R12" s="13">
        <f>VLOOKUP($Q$5,$C$5:$P$84,8)</f>
        <v>11.85</v>
      </c>
    </row>
    <row r="13" spans="1:18" ht="22.5">
      <c r="A13" s="17"/>
      <c r="B13" s="13"/>
      <c r="C13" s="22">
        <v>9</v>
      </c>
      <c r="D13" s="110" t="str">
        <f t="shared" si="0"/>
        <v>H- 175*175 mm.(40.2 kg./m.)</v>
      </c>
      <c r="E13" s="22">
        <v>175</v>
      </c>
      <c r="F13" s="22">
        <v>175</v>
      </c>
      <c r="G13" s="22">
        <v>7.5</v>
      </c>
      <c r="H13" s="22">
        <v>11</v>
      </c>
      <c r="I13" s="22">
        <v>40.2</v>
      </c>
      <c r="J13" s="22">
        <v>51.21</v>
      </c>
      <c r="K13" s="22">
        <v>2880</v>
      </c>
      <c r="L13" s="22">
        <v>984</v>
      </c>
      <c r="M13" s="22">
        <v>330</v>
      </c>
      <c r="N13" s="22">
        <v>112</v>
      </c>
      <c r="O13" s="22">
        <v>7.5</v>
      </c>
      <c r="P13" s="22">
        <v>4.38</v>
      </c>
      <c r="Q13" s="17" t="s">
        <v>25</v>
      </c>
      <c r="R13" s="13">
        <f>VLOOKUP($Q$5,$C$5:$P$84,11)</f>
        <v>37.5</v>
      </c>
    </row>
    <row r="14" spans="1:18" ht="22.5">
      <c r="A14" s="17"/>
      <c r="B14" s="13"/>
      <c r="C14" s="22">
        <v>10</v>
      </c>
      <c r="D14" s="110" t="str">
        <f t="shared" si="0"/>
        <v>H- 200*100 mm.(18.2 kg./m.)</v>
      </c>
      <c r="E14" s="22">
        <v>200</v>
      </c>
      <c r="F14" s="22">
        <v>100</v>
      </c>
      <c r="G14" s="22">
        <v>4.5</v>
      </c>
      <c r="H14" s="22">
        <v>7</v>
      </c>
      <c r="I14" s="22">
        <v>18.2</v>
      </c>
      <c r="J14" s="22">
        <v>23.18</v>
      </c>
      <c r="K14" s="22">
        <v>1580</v>
      </c>
      <c r="L14" s="22">
        <v>114</v>
      </c>
      <c r="M14" s="22">
        <v>160</v>
      </c>
      <c r="N14" s="22">
        <v>23</v>
      </c>
      <c r="O14" s="22">
        <v>8.26</v>
      </c>
      <c r="P14" s="22">
        <v>2.21</v>
      </c>
      <c r="Q14" s="17" t="s">
        <v>26</v>
      </c>
      <c r="R14" s="13">
        <f>VLOOKUP($Q$5,$C$5:$P$84,12)</f>
        <v>5.91</v>
      </c>
    </row>
    <row r="15" spans="1:18" ht="22.5">
      <c r="A15" s="17"/>
      <c r="B15" s="13"/>
      <c r="C15" s="22">
        <v>11</v>
      </c>
      <c r="D15" s="110" t="str">
        <f t="shared" si="0"/>
        <v>H- 200*100 mm.(21.3 kg./m.)</v>
      </c>
      <c r="E15" s="22">
        <v>200</v>
      </c>
      <c r="F15" s="22">
        <v>100</v>
      </c>
      <c r="G15" s="22">
        <v>5.5</v>
      </c>
      <c r="H15" s="22">
        <v>8</v>
      </c>
      <c r="I15" s="22">
        <v>21.3</v>
      </c>
      <c r="J15" s="22">
        <v>27.16</v>
      </c>
      <c r="K15" s="22">
        <v>1840</v>
      </c>
      <c r="L15" s="22">
        <v>134</v>
      </c>
      <c r="M15" s="22">
        <v>184</v>
      </c>
      <c r="N15" s="22">
        <v>26.8</v>
      </c>
      <c r="O15" s="22">
        <v>8.24</v>
      </c>
      <c r="P15" s="22">
        <v>2.22</v>
      </c>
      <c r="Q15" s="17" t="s">
        <v>23</v>
      </c>
      <c r="R15" s="13">
        <f>VLOOKUP($Q$5,$C$5:$P$84,9)</f>
        <v>187</v>
      </c>
    </row>
    <row r="16" spans="1:18" ht="22.5">
      <c r="A16" s="17"/>
      <c r="B16" s="13"/>
      <c r="C16" s="22">
        <v>12</v>
      </c>
      <c r="D16" s="110" t="str">
        <f t="shared" si="0"/>
        <v>H- 200*150 mm.(30.6 kg./m.)</v>
      </c>
      <c r="E16" s="22">
        <v>200</v>
      </c>
      <c r="F16" s="22">
        <v>150</v>
      </c>
      <c r="G16" s="22">
        <v>6</v>
      </c>
      <c r="H16" s="22">
        <v>9</v>
      </c>
      <c r="I16" s="22">
        <v>30.6</v>
      </c>
      <c r="J16" s="22">
        <v>39.01</v>
      </c>
      <c r="K16" s="22">
        <v>2690</v>
      </c>
      <c r="L16" s="22">
        <v>507</v>
      </c>
      <c r="M16" s="22">
        <v>277</v>
      </c>
      <c r="N16" s="22">
        <v>67.6</v>
      </c>
      <c r="O16" s="22">
        <v>8.3</v>
      </c>
      <c r="P16" s="22">
        <v>3.61</v>
      </c>
      <c r="Q16" s="17" t="s">
        <v>24</v>
      </c>
      <c r="R16" s="13">
        <f>VLOOKUP($Q$5,$C$5:$P$84,10)</f>
        <v>14.8</v>
      </c>
    </row>
    <row r="17" spans="1:18" ht="22.5">
      <c r="A17" s="17"/>
      <c r="B17" s="13"/>
      <c r="C17" s="22">
        <v>13</v>
      </c>
      <c r="D17" s="110" t="str">
        <f t="shared" si="0"/>
        <v>H- 200*200 mm.(49.9 kg./m.)</v>
      </c>
      <c r="E17" s="22">
        <v>200</v>
      </c>
      <c r="F17" s="22">
        <v>200</v>
      </c>
      <c r="G17" s="22">
        <v>8</v>
      </c>
      <c r="H17" s="22">
        <v>12</v>
      </c>
      <c r="I17" s="22">
        <v>49.9</v>
      </c>
      <c r="J17" s="22">
        <v>63.53</v>
      </c>
      <c r="K17" s="22">
        <v>4720</v>
      </c>
      <c r="L17" s="22">
        <v>1600</v>
      </c>
      <c r="M17" s="22">
        <v>472</v>
      </c>
      <c r="N17" s="22">
        <v>160</v>
      </c>
      <c r="O17" s="22">
        <v>8.62</v>
      </c>
      <c r="P17" s="22">
        <v>5.02</v>
      </c>
      <c r="Q17" s="17" t="s">
        <v>8</v>
      </c>
      <c r="R17" s="13">
        <f>VLOOKUP($Q$5,$C$5:$P$84,13)</f>
        <v>3.98</v>
      </c>
    </row>
    <row r="18" spans="1:18" ht="22.5">
      <c r="A18" s="17"/>
      <c r="B18" s="13"/>
      <c r="C18" s="22">
        <v>14</v>
      </c>
      <c r="D18" s="110" t="str">
        <f t="shared" si="0"/>
        <v>H- 200*200 mm.(56.2 kg./m.)</v>
      </c>
      <c r="E18" s="22">
        <v>200</v>
      </c>
      <c r="F18" s="22">
        <v>200</v>
      </c>
      <c r="G18" s="22">
        <v>12</v>
      </c>
      <c r="H18" s="22">
        <v>12</v>
      </c>
      <c r="I18" s="22">
        <v>56.2</v>
      </c>
      <c r="J18" s="22">
        <v>71.53</v>
      </c>
      <c r="K18" s="22">
        <v>4980</v>
      </c>
      <c r="L18" s="22">
        <v>1700</v>
      </c>
      <c r="M18" s="22">
        <v>498</v>
      </c>
      <c r="N18" s="22">
        <v>167</v>
      </c>
      <c r="O18" s="22">
        <v>8.35</v>
      </c>
      <c r="P18" s="22">
        <v>4.88</v>
      </c>
      <c r="Q18" s="17" t="s">
        <v>10</v>
      </c>
      <c r="R18" s="13">
        <f>VLOOKUP($Q$5,$C$5:$P$84,14)</f>
        <v>1.12</v>
      </c>
    </row>
    <row r="19" spans="1:18" ht="22.5">
      <c r="A19" s="17"/>
      <c r="B19" s="24"/>
      <c r="C19" s="22">
        <v>15</v>
      </c>
      <c r="D19" s="110" t="str">
        <f t="shared" si="0"/>
        <v>H- 200*200 mm.(65.7 kg./m.)</v>
      </c>
      <c r="E19" s="22">
        <v>200</v>
      </c>
      <c r="F19" s="22">
        <v>200</v>
      </c>
      <c r="G19" s="22">
        <v>10</v>
      </c>
      <c r="H19" s="22">
        <v>16</v>
      </c>
      <c r="I19" s="22">
        <v>65.7</v>
      </c>
      <c r="J19" s="22">
        <v>83.69</v>
      </c>
      <c r="K19" s="22">
        <v>6530</v>
      </c>
      <c r="L19" s="22">
        <v>2200</v>
      </c>
      <c r="M19" s="22">
        <v>628</v>
      </c>
      <c r="N19" s="22">
        <v>218</v>
      </c>
      <c r="O19" s="22">
        <v>8.83</v>
      </c>
      <c r="P19" s="22">
        <v>5.13</v>
      </c>
      <c r="Q19" s="17" t="s">
        <v>31</v>
      </c>
      <c r="R19" s="24" t="str">
        <f>" "&amp;R6&amp;""</f>
        <v> H- 100*50 mm.(9.3 kg./m.)</v>
      </c>
    </row>
    <row r="20" spans="1:16" ht="22.5">
      <c r="A20" s="28"/>
      <c r="B20" s="28"/>
      <c r="C20" s="22">
        <v>16</v>
      </c>
      <c r="D20" s="110" t="str">
        <f t="shared" si="0"/>
        <v>H- 250*125 mm.(25.7 kg./m.)</v>
      </c>
      <c r="E20" s="22">
        <v>250</v>
      </c>
      <c r="F20" s="22">
        <v>125</v>
      </c>
      <c r="G20" s="22">
        <v>5</v>
      </c>
      <c r="H20" s="22">
        <v>8</v>
      </c>
      <c r="I20" s="22">
        <v>25.7</v>
      </c>
      <c r="J20" s="22">
        <v>32.68</v>
      </c>
      <c r="K20" s="22">
        <v>3540</v>
      </c>
      <c r="L20" s="22">
        <v>255</v>
      </c>
      <c r="M20" s="22">
        <v>285</v>
      </c>
      <c r="N20" s="22">
        <v>41.1</v>
      </c>
      <c r="O20" s="22">
        <v>10.4</v>
      </c>
      <c r="P20" s="22">
        <v>2.79</v>
      </c>
    </row>
    <row r="21" spans="1:16" ht="22.5">
      <c r="A21" s="28"/>
      <c r="B21" s="28"/>
      <c r="C21" s="22">
        <v>17</v>
      </c>
      <c r="D21" s="110" t="str">
        <f t="shared" si="0"/>
        <v>H- 250*125 mm.(29.6 kg./m.)</v>
      </c>
      <c r="E21" s="22">
        <v>250</v>
      </c>
      <c r="F21" s="22">
        <v>125</v>
      </c>
      <c r="G21" s="22">
        <v>6</v>
      </c>
      <c r="H21" s="22">
        <v>9</v>
      </c>
      <c r="I21" s="22">
        <v>29.6</v>
      </c>
      <c r="J21" s="22">
        <v>37.66</v>
      </c>
      <c r="K21" s="22">
        <v>4050</v>
      </c>
      <c r="L21" s="22">
        <v>294</v>
      </c>
      <c r="M21" s="22">
        <v>324</v>
      </c>
      <c r="N21" s="22">
        <v>47</v>
      </c>
      <c r="O21" s="22">
        <v>10.4</v>
      </c>
      <c r="P21" s="22">
        <v>2.79</v>
      </c>
    </row>
    <row r="22" spans="1:16" ht="22.5">
      <c r="A22" s="28"/>
      <c r="B22" s="28"/>
      <c r="C22" s="22">
        <v>18</v>
      </c>
      <c r="D22" s="110" t="str">
        <f t="shared" si="0"/>
        <v>H- 250*175 mm.(44.1 kg./m.)</v>
      </c>
      <c r="E22" s="22">
        <v>250</v>
      </c>
      <c r="F22" s="22">
        <v>175</v>
      </c>
      <c r="G22" s="22">
        <v>7</v>
      </c>
      <c r="H22" s="22">
        <v>11</v>
      </c>
      <c r="I22" s="22">
        <v>44.1</v>
      </c>
      <c r="J22" s="22">
        <v>56.24</v>
      </c>
      <c r="K22" s="22">
        <v>6120</v>
      </c>
      <c r="L22" s="22">
        <v>984</v>
      </c>
      <c r="M22" s="22">
        <v>502</v>
      </c>
      <c r="N22" s="22">
        <v>113</v>
      </c>
      <c r="O22" s="22">
        <v>10.4</v>
      </c>
      <c r="P22" s="22">
        <v>4.18</v>
      </c>
    </row>
    <row r="23" spans="1:16" ht="22.5">
      <c r="A23" s="28"/>
      <c r="B23" s="28"/>
      <c r="C23" s="22">
        <v>19</v>
      </c>
      <c r="D23" s="110" t="str">
        <f t="shared" si="0"/>
        <v>H- 250*250 mm.(64.4 kg./m.)</v>
      </c>
      <c r="E23" s="22">
        <v>250</v>
      </c>
      <c r="F23" s="22">
        <v>250</v>
      </c>
      <c r="G23" s="22">
        <v>11</v>
      </c>
      <c r="H23" s="22">
        <v>11</v>
      </c>
      <c r="I23" s="22">
        <v>64.4</v>
      </c>
      <c r="J23" s="22">
        <v>82.06</v>
      </c>
      <c r="K23" s="22">
        <v>8790</v>
      </c>
      <c r="L23" s="22">
        <v>2940</v>
      </c>
      <c r="M23" s="22">
        <v>720</v>
      </c>
      <c r="N23" s="22">
        <v>233</v>
      </c>
      <c r="O23" s="22">
        <v>10.3</v>
      </c>
      <c r="P23" s="22">
        <v>5.98</v>
      </c>
    </row>
    <row r="24" spans="1:16" ht="22.5">
      <c r="A24" s="28"/>
      <c r="B24" s="28"/>
      <c r="C24" s="22">
        <v>20</v>
      </c>
      <c r="D24" s="110" t="str">
        <f t="shared" si="0"/>
        <v>H- 250*250 mm.(66.5 kg./m.)</v>
      </c>
      <c r="E24" s="22">
        <v>250</v>
      </c>
      <c r="F24" s="22">
        <v>250</v>
      </c>
      <c r="G24" s="22">
        <v>8</v>
      </c>
      <c r="H24" s="22">
        <v>13</v>
      </c>
      <c r="I24" s="22">
        <v>66.5</v>
      </c>
      <c r="J24" s="22">
        <v>84.7</v>
      </c>
      <c r="K24" s="22">
        <v>9930</v>
      </c>
      <c r="L24" s="22">
        <v>3350</v>
      </c>
      <c r="M24" s="22">
        <v>801</v>
      </c>
      <c r="N24" s="22">
        <v>269</v>
      </c>
      <c r="O24" s="22">
        <v>10.8</v>
      </c>
      <c r="P24" s="22">
        <v>6.29</v>
      </c>
    </row>
    <row r="25" spans="1:16" ht="22.5">
      <c r="A25" s="28"/>
      <c r="B25" s="28"/>
      <c r="C25" s="22">
        <v>21</v>
      </c>
      <c r="D25" s="110" t="str">
        <f t="shared" si="0"/>
        <v>H- 250*250 mm.(72.4 kg./m.)</v>
      </c>
      <c r="E25" s="22">
        <v>250</v>
      </c>
      <c r="F25" s="22">
        <v>250</v>
      </c>
      <c r="G25" s="22">
        <v>9</v>
      </c>
      <c r="H25" s="22">
        <v>14</v>
      </c>
      <c r="I25" s="22">
        <v>72.4</v>
      </c>
      <c r="J25" s="22">
        <v>92.18</v>
      </c>
      <c r="K25" s="22">
        <v>10800</v>
      </c>
      <c r="L25" s="22">
        <v>3650</v>
      </c>
      <c r="M25" s="22">
        <v>867</v>
      </c>
      <c r="N25" s="22">
        <v>292</v>
      </c>
      <c r="O25" s="22">
        <v>10.8</v>
      </c>
      <c r="P25" s="22">
        <v>6.29</v>
      </c>
    </row>
    <row r="26" spans="1:16" ht="22.5">
      <c r="A26" s="28"/>
      <c r="B26" s="28"/>
      <c r="C26" s="22">
        <v>22</v>
      </c>
      <c r="D26" s="110" t="str">
        <f t="shared" si="0"/>
        <v>H- 250*250 mm.(82.2 kg./m.)</v>
      </c>
      <c r="E26" s="22">
        <v>250</v>
      </c>
      <c r="F26" s="22">
        <v>250</v>
      </c>
      <c r="G26" s="22">
        <v>14</v>
      </c>
      <c r="H26" s="22">
        <v>14</v>
      </c>
      <c r="I26" s="22">
        <v>82.2</v>
      </c>
      <c r="J26" s="22">
        <v>104.7</v>
      </c>
      <c r="K26" s="22">
        <v>11500</v>
      </c>
      <c r="L26" s="22">
        <v>3880</v>
      </c>
      <c r="M26" s="22">
        <v>919</v>
      </c>
      <c r="N26" s="22">
        <v>304</v>
      </c>
      <c r="O26" s="22">
        <v>10.5</v>
      </c>
      <c r="P26" s="22">
        <v>6.09</v>
      </c>
    </row>
    <row r="27" spans="1:16" ht="22.5">
      <c r="A27" s="28"/>
      <c r="B27" s="28"/>
      <c r="C27" s="22">
        <v>23</v>
      </c>
      <c r="D27" s="110" t="str">
        <f t="shared" si="0"/>
        <v>H- 300*150 mm.(32 kg./m.)</v>
      </c>
      <c r="E27" s="22">
        <v>300</v>
      </c>
      <c r="F27" s="22">
        <v>150</v>
      </c>
      <c r="G27" s="22">
        <v>5.5</v>
      </c>
      <c r="H27" s="22">
        <v>8</v>
      </c>
      <c r="I27" s="22">
        <v>32</v>
      </c>
      <c r="J27" s="22">
        <v>40.8</v>
      </c>
      <c r="K27" s="22">
        <v>6320</v>
      </c>
      <c r="L27" s="22">
        <v>442</v>
      </c>
      <c r="M27" s="22">
        <v>424</v>
      </c>
      <c r="N27" s="22">
        <v>59.3</v>
      </c>
      <c r="O27" s="22">
        <v>12.4</v>
      </c>
      <c r="P27" s="22">
        <v>3.29</v>
      </c>
    </row>
    <row r="28" spans="1:16" ht="22.5">
      <c r="A28" s="28"/>
      <c r="C28" s="22">
        <v>24</v>
      </c>
      <c r="D28" s="110" t="str">
        <f t="shared" si="0"/>
        <v>H- 300*150 mm.(36.7 kg./m.)</v>
      </c>
      <c r="E28" s="22">
        <v>300</v>
      </c>
      <c r="F28" s="22">
        <v>150</v>
      </c>
      <c r="G28" s="22">
        <v>6.5</v>
      </c>
      <c r="H28" s="22">
        <v>9</v>
      </c>
      <c r="I28" s="22">
        <v>36.7</v>
      </c>
      <c r="J28" s="22">
        <v>46.78</v>
      </c>
      <c r="K28" s="22">
        <v>7210</v>
      </c>
      <c r="L28" s="22">
        <v>508</v>
      </c>
      <c r="M28" s="22">
        <v>481</v>
      </c>
      <c r="N28" s="22">
        <v>67.6</v>
      </c>
      <c r="O28" s="22">
        <v>12.4</v>
      </c>
      <c r="P28" s="22">
        <v>3.29</v>
      </c>
    </row>
    <row r="29" spans="3:16" ht="22.5">
      <c r="C29" s="22">
        <v>25</v>
      </c>
      <c r="D29" s="110" t="str">
        <f t="shared" si="0"/>
        <v>H- 300*200 mm.(56.8 kg./m.)</v>
      </c>
      <c r="E29" s="22">
        <v>300</v>
      </c>
      <c r="F29" s="22">
        <v>200</v>
      </c>
      <c r="G29" s="22">
        <v>8</v>
      </c>
      <c r="H29" s="22">
        <v>12</v>
      </c>
      <c r="I29" s="22">
        <v>56.8</v>
      </c>
      <c r="J29" s="22">
        <v>72.38</v>
      </c>
      <c r="K29" s="22">
        <v>11300</v>
      </c>
      <c r="L29" s="22">
        <v>1600</v>
      </c>
      <c r="M29" s="22">
        <v>771</v>
      </c>
      <c r="N29" s="22">
        <v>160</v>
      </c>
      <c r="O29" s="22">
        <v>12.5</v>
      </c>
      <c r="P29" s="22">
        <v>4.71</v>
      </c>
    </row>
    <row r="30" spans="3:16" ht="22.5">
      <c r="C30" s="22">
        <v>26</v>
      </c>
      <c r="D30" s="110" t="str">
        <f t="shared" si="0"/>
        <v>H- 300*200 mm.(65.4 kg./m.)</v>
      </c>
      <c r="E30" s="22">
        <v>300</v>
      </c>
      <c r="F30" s="22">
        <v>200</v>
      </c>
      <c r="G30" s="22">
        <v>9</v>
      </c>
      <c r="H30" s="22">
        <v>14</v>
      </c>
      <c r="I30" s="22">
        <v>65.4</v>
      </c>
      <c r="J30" s="22">
        <v>83.36</v>
      </c>
      <c r="K30" s="22">
        <v>13300</v>
      </c>
      <c r="L30" s="22">
        <v>1900</v>
      </c>
      <c r="M30" s="22">
        <v>893</v>
      </c>
      <c r="N30" s="22">
        <v>189</v>
      </c>
      <c r="O30" s="22">
        <v>12.6</v>
      </c>
      <c r="P30" s="22">
        <v>4.77</v>
      </c>
    </row>
    <row r="31" spans="3:16" ht="22.5">
      <c r="C31" s="22">
        <v>27</v>
      </c>
      <c r="D31" s="110" t="str">
        <f t="shared" si="0"/>
        <v>H- 300*300 mm.(84.5 kg./m.)</v>
      </c>
      <c r="E31" s="22">
        <v>300</v>
      </c>
      <c r="F31" s="22">
        <v>300</v>
      </c>
      <c r="G31" s="22">
        <v>12</v>
      </c>
      <c r="H31" s="22">
        <v>12</v>
      </c>
      <c r="I31" s="22">
        <v>84.5</v>
      </c>
      <c r="J31" s="22">
        <v>107.7</v>
      </c>
      <c r="K31" s="22">
        <v>16900</v>
      </c>
      <c r="L31" s="22">
        <v>5520</v>
      </c>
      <c r="M31" s="22">
        <v>1150</v>
      </c>
      <c r="N31" s="22">
        <v>365</v>
      </c>
      <c r="O31" s="22">
        <v>12.5</v>
      </c>
      <c r="P31" s="22">
        <v>7.16</v>
      </c>
    </row>
    <row r="32" spans="3:16" ht="22.5">
      <c r="C32" s="22">
        <v>28</v>
      </c>
      <c r="D32" s="110" t="str">
        <f t="shared" si="0"/>
        <v>H- 300*300 mm.(87 kg./m.)</v>
      </c>
      <c r="E32" s="22">
        <v>300</v>
      </c>
      <c r="F32" s="22">
        <v>300</v>
      </c>
      <c r="G32" s="22">
        <v>9</v>
      </c>
      <c r="H32" s="22">
        <v>14</v>
      </c>
      <c r="I32" s="22">
        <v>87</v>
      </c>
      <c r="J32" s="22">
        <v>110.8</v>
      </c>
      <c r="K32" s="22">
        <v>18800</v>
      </c>
      <c r="L32" s="22">
        <v>6240</v>
      </c>
      <c r="M32" s="22">
        <v>1270</v>
      </c>
      <c r="N32" s="22">
        <v>417</v>
      </c>
      <c r="O32" s="22">
        <v>13</v>
      </c>
      <c r="P32" s="22">
        <v>7.51</v>
      </c>
    </row>
    <row r="33" spans="3:16" ht="22.5">
      <c r="C33" s="22">
        <v>29</v>
      </c>
      <c r="D33" s="110" t="str">
        <f t="shared" si="0"/>
        <v>H- 300*300 mm.(94 kg./m.)</v>
      </c>
      <c r="E33" s="22">
        <v>300</v>
      </c>
      <c r="F33" s="22">
        <v>300</v>
      </c>
      <c r="G33" s="22">
        <v>10</v>
      </c>
      <c r="H33" s="22">
        <v>15</v>
      </c>
      <c r="I33" s="22">
        <v>94</v>
      </c>
      <c r="J33" s="22">
        <v>119.8</v>
      </c>
      <c r="K33" s="22">
        <v>20400</v>
      </c>
      <c r="L33" s="22">
        <v>6750</v>
      </c>
      <c r="M33" s="22">
        <v>1360</v>
      </c>
      <c r="N33" s="22">
        <v>450</v>
      </c>
      <c r="O33" s="22">
        <v>13.1</v>
      </c>
      <c r="P33" s="22">
        <v>7.51</v>
      </c>
    </row>
    <row r="34" spans="3:16" ht="22.5">
      <c r="C34" s="22">
        <v>30</v>
      </c>
      <c r="D34" s="110" t="str">
        <f t="shared" si="0"/>
        <v>H- 300*300 mm.(106 kg./m.)</v>
      </c>
      <c r="E34" s="22">
        <v>300</v>
      </c>
      <c r="F34" s="22">
        <v>300</v>
      </c>
      <c r="G34" s="22">
        <v>15</v>
      </c>
      <c r="H34" s="22">
        <v>15</v>
      </c>
      <c r="I34" s="22">
        <v>106</v>
      </c>
      <c r="J34" s="22">
        <v>134.8</v>
      </c>
      <c r="K34" s="22">
        <v>21500</v>
      </c>
      <c r="L34" s="22">
        <v>7100</v>
      </c>
      <c r="M34" s="22">
        <v>1440</v>
      </c>
      <c r="N34" s="22">
        <v>466</v>
      </c>
      <c r="O34" s="22">
        <v>12.6</v>
      </c>
      <c r="P34" s="22">
        <v>7.26</v>
      </c>
    </row>
    <row r="35" spans="3:16" ht="22.5">
      <c r="C35" s="22">
        <v>31</v>
      </c>
      <c r="D35" s="110" t="str">
        <f t="shared" si="0"/>
        <v>H- 300*300 mm.(106 kg./m.)</v>
      </c>
      <c r="E35" s="22">
        <v>300</v>
      </c>
      <c r="F35" s="22">
        <v>300</v>
      </c>
      <c r="G35" s="22">
        <v>11</v>
      </c>
      <c r="H35" s="22">
        <v>17</v>
      </c>
      <c r="I35" s="22">
        <v>106</v>
      </c>
      <c r="J35" s="22">
        <v>134.8</v>
      </c>
      <c r="K35" s="22">
        <v>23400</v>
      </c>
      <c r="L35" s="22">
        <v>7730</v>
      </c>
      <c r="M35" s="22">
        <v>1540</v>
      </c>
      <c r="N35" s="22">
        <v>514</v>
      </c>
      <c r="O35" s="22">
        <v>13.2</v>
      </c>
      <c r="P35" s="22">
        <v>7.57</v>
      </c>
    </row>
    <row r="36" spans="3:16" ht="22.5">
      <c r="C36" s="22">
        <v>32</v>
      </c>
      <c r="D36" s="110" t="str">
        <f t="shared" si="0"/>
        <v>H- 350*175 mm.(41.4 kg./m.)</v>
      </c>
      <c r="E36" s="22">
        <v>350</v>
      </c>
      <c r="F36" s="22">
        <v>175</v>
      </c>
      <c r="G36" s="22">
        <v>6</v>
      </c>
      <c r="H36" s="22">
        <v>9</v>
      </c>
      <c r="I36" s="22">
        <v>41.4</v>
      </c>
      <c r="J36" s="22">
        <v>52.68</v>
      </c>
      <c r="K36" s="22">
        <v>11100</v>
      </c>
      <c r="L36" s="22">
        <v>792</v>
      </c>
      <c r="M36" s="22">
        <v>641</v>
      </c>
      <c r="N36" s="22">
        <v>91</v>
      </c>
      <c r="O36" s="22">
        <v>14.5</v>
      </c>
      <c r="P36" s="22">
        <v>3.86</v>
      </c>
    </row>
    <row r="37" spans="3:16" ht="22.5">
      <c r="C37" s="22">
        <v>33</v>
      </c>
      <c r="D37" s="110" t="str">
        <f t="shared" si="0"/>
        <v>H- 350*175 mm.(49.6 kg./m.)</v>
      </c>
      <c r="E37" s="22">
        <v>350</v>
      </c>
      <c r="F37" s="22">
        <v>175</v>
      </c>
      <c r="G37" s="22">
        <v>7</v>
      </c>
      <c r="H37" s="22">
        <v>11</v>
      </c>
      <c r="I37" s="22">
        <v>49.6</v>
      </c>
      <c r="J37" s="22">
        <v>63.14</v>
      </c>
      <c r="K37" s="22">
        <v>13600</v>
      </c>
      <c r="L37" s="22">
        <v>684</v>
      </c>
      <c r="M37" s="22">
        <v>775</v>
      </c>
      <c r="N37" s="22">
        <v>112</v>
      </c>
      <c r="O37" s="22">
        <v>14.7</v>
      </c>
      <c r="P37" s="22">
        <v>3.95</v>
      </c>
    </row>
    <row r="38" spans="3:16" ht="22.5">
      <c r="C38" s="22">
        <v>34</v>
      </c>
      <c r="D38" s="110" t="str">
        <f t="shared" si="0"/>
        <v>H- 350*250 mm.(69.2 kg./m.)</v>
      </c>
      <c r="E38" s="22">
        <v>350</v>
      </c>
      <c r="F38" s="22">
        <v>250</v>
      </c>
      <c r="G38" s="22">
        <v>8</v>
      </c>
      <c r="H38" s="22">
        <v>12</v>
      </c>
      <c r="I38" s="22">
        <v>69.2</v>
      </c>
      <c r="J38" s="22">
        <v>88.15</v>
      </c>
      <c r="K38" s="22">
        <v>18500</v>
      </c>
      <c r="L38" s="22">
        <v>3090</v>
      </c>
      <c r="M38" s="22">
        <v>1100</v>
      </c>
      <c r="N38" s="22">
        <v>248</v>
      </c>
      <c r="O38" s="22">
        <v>14.5</v>
      </c>
      <c r="P38" s="22">
        <v>5.92</v>
      </c>
    </row>
    <row r="39" spans="3:16" ht="22.5">
      <c r="C39" s="22">
        <v>35</v>
      </c>
      <c r="D39" s="110" t="str">
        <f t="shared" si="0"/>
        <v>H- 350*250 mm.(79.7 kg./m.)</v>
      </c>
      <c r="E39" s="22">
        <v>350</v>
      </c>
      <c r="F39" s="22">
        <v>250</v>
      </c>
      <c r="G39" s="22">
        <v>9</v>
      </c>
      <c r="H39" s="22">
        <v>14</v>
      </c>
      <c r="I39" s="22">
        <v>79.7</v>
      </c>
      <c r="J39" s="22">
        <v>101.5</v>
      </c>
      <c r="K39" s="22">
        <v>21700</v>
      </c>
      <c r="L39" s="22">
        <v>3650</v>
      </c>
      <c r="M39" s="22">
        <v>1280</v>
      </c>
      <c r="N39" s="22">
        <v>292</v>
      </c>
      <c r="O39" s="22">
        <v>14.6</v>
      </c>
      <c r="P39" s="22">
        <v>6</v>
      </c>
    </row>
    <row r="40" spans="3:16" ht="22.5">
      <c r="C40" s="22">
        <v>36</v>
      </c>
      <c r="D40" s="110" t="str">
        <f t="shared" si="0"/>
        <v>H- 350*350 mm.(106 kg./m.)</v>
      </c>
      <c r="E40" s="22">
        <v>350</v>
      </c>
      <c r="F40" s="22">
        <v>350</v>
      </c>
      <c r="G40" s="22">
        <v>13</v>
      </c>
      <c r="H40" s="22">
        <v>13</v>
      </c>
      <c r="I40" s="22">
        <v>106</v>
      </c>
      <c r="J40" s="22">
        <v>135.3</v>
      </c>
      <c r="K40" s="22">
        <v>28200</v>
      </c>
      <c r="L40" s="22">
        <v>9380</v>
      </c>
      <c r="M40" s="22">
        <v>1670</v>
      </c>
      <c r="N40" s="22">
        <v>534</v>
      </c>
      <c r="O40" s="22">
        <v>14.4</v>
      </c>
      <c r="P40" s="22">
        <v>8.33</v>
      </c>
    </row>
    <row r="41" spans="3:16" ht="22.5">
      <c r="C41" s="22">
        <v>37</v>
      </c>
      <c r="D41" s="110" t="str">
        <f t="shared" si="0"/>
        <v>H- 350*350 mm.(115 kg./m.)</v>
      </c>
      <c r="E41" s="22">
        <v>350</v>
      </c>
      <c r="F41" s="22">
        <v>350</v>
      </c>
      <c r="G41" s="22">
        <v>10</v>
      </c>
      <c r="H41" s="22">
        <v>16</v>
      </c>
      <c r="I41" s="22">
        <v>115</v>
      </c>
      <c r="J41" s="22">
        <v>146</v>
      </c>
      <c r="K41" s="22">
        <v>33300</v>
      </c>
      <c r="L41" s="22">
        <v>11200</v>
      </c>
      <c r="M41" s="22">
        <v>1940</v>
      </c>
      <c r="N41" s="22">
        <v>646</v>
      </c>
      <c r="O41" s="22">
        <v>15.1</v>
      </c>
      <c r="P41" s="22">
        <v>8.78</v>
      </c>
    </row>
    <row r="42" spans="3:16" ht="22.5">
      <c r="C42" s="22">
        <v>38</v>
      </c>
      <c r="D42" s="110" t="str">
        <f t="shared" si="0"/>
        <v>H- 350*350 mm.(131 kg./m.)</v>
      </c>
      <c r="E42" s="22">
        <v>350</v>
      </c>
      <c r="F42" s="22">
        <v>350</v>
      </c>
      <c r="G42" s="22">
        <v>16</v>
      </c>
      <c r="H42" s="22">
        <v>16</v>
      </c>
      <c r="I42" s="22">
        <v>131</v>
      </c>
      <c r="J42" s="22">
        <v>166.6</v>
      </c>
      <c r="K42" s="22">
        <v>35300</v>
      </c>
      <c r="L42" s="22">
        <v>11800</v>
      </c>
      <c r="M42" s="22">
        <v>2050</v>
      </c>
      <c r="N42" s="22">
        <v>669</v>
      </c>
      <c r="O42" s="22">
        <v>14.6</v>
      </c>
      <c r="P42" s="22">
        <v>8.43</v>
      </c>
    </row>
    <row r="43" spans="3:16" ht="22.5">
      <c r="C43" s="22">
        <v>39</v>
      </c>
      <c r="D43" s="110" t="str">
        <f t="shared" si="0"/>
        <v>H- 350*350 mm.(137 kg./m.)</v>
      </c>
      <c r="E43" s="22">
        <v>350</v>
      </c>
      <c r="F43" s="22">
        <v>350</v>
      </c>
      <c r="G43" s="22">
        <v>12</v>
      </c>
      <c r="H43" s="22">
        <v>19</v>
      </c>
      <c r="I43" s="22">
        <v>137</v>
      </c>
      <c r="J43" s="22">
        <v>173.9</v>
      </c>
      <c r="K43" s="22">
        <v>40300</v>
      </c>
      <c r="L43" s="22">
        <v>13600</v>
      </c>
      <c r="M43" s="22">
        <v>2300</v>
      </c>
      <c r="N43" s="22">
        <v>776</v>
      </c>
      <c r="O43" s="22">
        <v>15.2</v>
      </c>
      <c r="P43" s="22">
        <v>8.84</v>
      </c>
    </row>
    <row r="44" spans="3:16" ht="22.5">
      <c r="C44" s="22">
        <v>40</v>
      </c>
      <c r="D44" s="110" t="str">
        <f t="shared" si="0"/>
        <v>H- 350*350 mm.(156 kg./m.)</v>
      </c>
      <c r="E44" s="22">
        <v>350</v>
      </c>
      <c r="F44" s="22">
        <v>350</v>
      </c>
      <c r="G44" s="22">
        <v>19</v>
      </c>
      <c r="H44" s="22">
        <v>19</v>
      </c>
      <c r="I44" s="22">
        <v>156</v>
      </c>
      <c r="J44" s="22">
        <v>198.4</v>
      </c>
      <c r="K44" s="22">
        <v>42800</v>
      </c>
      <c r="L44" s="22">
        <v>14400</v>
      </c>
      <c r="M44" s="22">
        <v>2450</v>
      </c>
      <c r="N44" s="22">
        <v>809</v>
      </c>
      <c r="O44" s="22">
        <v>14.7</v>
      </c>
      <c r="P44" s="22">
        <v>8.53</v>
      </c>
    </row>
    <row r="45" spans="3:16" ht="22.5">
      <c r="C45" s="22">
        <v>41</v>
      </c>
      <c r="D45" s="110" t="str">
        <f t="shared" si="0"/>
        <v>H- 350*350 mm.(159 kg./m.)</v>
      </c>
      <c r="E45" s="22">
        <v>350</v>
      </c>
      <c r="F45" s="22">
        <v>350</v>
      </c>
      <c r="G45" s="22">
        <v>14</v>
      </c>
      <c r="H45" s="22">
        <v>22</v>
      </c>
      <c r="I45" s="22">
        <v>159</v>
      </c>
      <c r="J45" s="22">
        <v>202</v>
      </c>
      <c r="K45" s="22">
        <v>47600</v>
      </c>
      <c r="L45" s="22">
        <v>16000</v>
      </c>
      <c r="M45" s="22">
        <v>2670</v>
      </c>
      <c r="N45" s="22">
        <v>909</v>
      </c>
      <c r="O45" s="22">
        <v>15.3</v>
      </c>
      <c r="P45" s="22">
        <v>8.9</v>
      </c>
    </row>
    <row r="46" spans="3:16" ht="22.5">
      <c r="C46" s="22">
        <v>42</v>
      </c>
      <c r="D46" s="110" t="str">
        <f t="shared" si="0"/>
        <v>H- 400*200 mm.(56.6 kg./m.)</v>
      </c>
      <c r="E46" s="22">
        <v>400</v>
      </c>
      <c r="F46" s="22">
        <v>200</v>
      </c>
      <c r="G46" s="22">
        <v>7</v>
      </c>
      <c r="H46" s="22">
        <v>11</v>
      </c>
      <c r="I46" s="22">
        <v>56.6</v>
      </c>
      <c r="J46" s="22">
        <v>72.16</v>
      </c>
      <c r="K46" s="22">
        <v>20000</v>
      </c>
      <c r="L46" s="22">
        <v>1450</v>
      </c>
      <c r="M46" s="22">
        <v>1010</v>
      </c>
      <c r="N46" s="22">
        <v>145</v>
      </c>
      <c r="O46" s="22">
        <v>16.7</v>
      </c>
      <c r="P46" s="22">
        <v>4.48</v>
      </c>
    </row>
    <row r="47" spans="3:16" ht="22.5">
      <c r="C47" s="22">
        <v>43</v>
      </c>
      <c r="D47" s="110" t="str">
        <f t="shared" si="0"/>
        <v>H- 400*200 mm.(66 kg./m.)</v>
      </c>
      <c r="E47" s="22">
        <v>400</v>
      </c>
      <c r="F47" s="22">
        <v>200</v>
      </c>
      <c r="G47" s="22">
        <v>8</v>
      </c>
      <c r="H47" s="22">
        <v>13</v>
      </c>
      <c r="I47" s="22">
        <v>66</v>
      </c>
      <c r="J47" s="22">
        <v>84.12</v>
      </c>
      <c r="K47" s="22">
        <v>23700</v>
      </c>
      <c r="L47" s="22">
        <v>1740</v>
      </c>
      <c r="M47" s="22">
        <v>1190</v>
      </c>
      <c r="N47" s="22">
        <v>174</v>
      </c>
      <c r="O47" s="22">
        <v>16.8</v>
      </c>
      <c r="P47" s="22">
        <v>4.54</v>
      </c>
    </row>
    <row r="48" spans="3:16" ht="22.5">
      <c r="C48" s="22">
        <v>44</v>
      </c>
      <c r="D48" s="110" t="str">
        <f t="shared" si="0"/>
        <v>H- 400*300 mm.(94.3 kg./m.)</v>
      </c>
      <c r="E48" s="22">
        <v>400</v>
      </c>
      <c r="F48" s="22">
        <v>300</v>
      </c>
      <c r="G48" s="22">
        <v>9</v>
      </c>
      <c r="H48" s="22">
        <v>14</v>
      </c>
      <c r="I48" s="22">
        <v>94.3</v>
      </c>
      <c r="J48" s="22">
        <v>120.1</v>
      </c>
      <c r="K48" s="22">
        <v>33700</v>
      </c>
      <c r="L48" s="22">
        <v>6240</v>
      </c>
      <c r="M48" s="22">
        <v>1740</v>
      </c>
      <c r="N48" s="22">
        <v>418</v>
      </c>
      <c r="O48" s="22">
        <v>16.7</v>
      </c>
      <c r="P48" s="22">
        <v>7.21</v>
      </c>
    </row>
    <row r="49" spans="3:16" ht="22.5">
      <c r="C49" s="22">
        <v>45</v>
      </c>
      <c r="D49" s="110" t="str">
        <f t="shared" si="0"/>
        <v>H- 400*300 mm.(107 kg./m.)</v>
      </c>
      <c r="E49" s="22">
        <v>400</v>
      </c>
      <c r="F49" s="22">
        <v>300</v>
      </c>
      <c r="G49" s="22">
        <v>10</v>
      </c>
      <c r="H49" s="22">
        <v>16</v>
      </c>
      <c r="I49" s="22">
        <v>107</v>
      </c>
      <c r="J49" s="22">
        <v>136</v>
      </c>
      <c r="K49" s="22">
        <v>38700</v>
      </c>
      <c r="L49" s="22">
        <v>7210</v>
      </c>
      <c r="M49" s="22">
        <v>1980</v>
      </c>
      <c r="N49" s="22">
        <v>481</v>
      </c>
      <c r="O49" s="22">
        <v>16.9</v>
      </c>
      <c r="P49" s="22">
        <v>7.28</v>
      </c>
    </row>
    <row r="50" spans="3:16" ht="22.5">
      <c r="C50" s="22">
        <v>46</v>
      </c>
      <c r="D50" s="110" t="str">
        <f t="shared" si="0"/>
        <v>H- 400*400 mm.(140 kg./m.)</v>
      </c>
      <c r="E50" s="22">
        <v>400</v>
      </c>
      <c r="F50" s="22">
        <v>400</v>
      </c>
      <c r="G50" s="22">
        <v>15</v>
      </c>
      <c r="H50" s="22">
        <v>15</v>
      </c>
      <c r="I50" s="22">
        <v>140</v>
      </c>
      <c r="J50" s="22">
        <v>178.5</v>
      </c>
      <c r="K50" s="22">
        <v>49000</v>
      </c>
      <c r="L50" s="22">
        <v>16300</v>
      </c>
      <c r="M50" s="22">
        <v>2250</v>
      </c>
      <c r="N50" s="22">
        <v>809</v>
      </c>
      <c r="O50" s="22">
        <v>16.6</v>
      </c>
      <c r="P50" s="22">
        <v>9.54</v>
      </c>
    </row>
    <row r="51" spans="3:16" ht="22.5">
      <c r="C51" s="22">
        <v>47</v>
      </c>
      <c r="D51" s="110" t="str">
        <f t="shared" si="0"/>
        <v>H- 400*400 mm.(147 kg./m.)</v>
      </c>
      <c r="E51" s="22">
        <v>400</v>
      </c>
      <c r="F51" s="22">
        <v>400</v>
      </c>
      <c r="G51" s="22">
        <v>11</v>
      </c>
      <c r="H51" s="22">
        <v>18</v>
      </c>
      <c r="I51" s="22">
        <v>147</v>
      </c>
      <c r="J51" s="22">
        <v>186.8</v>
      </c>
      <c r="K51" s="22">
        <v>56100</v>
      </c>
      <c r="L51" s="22">
        <v>18900</v>
      </c>
      <c r="M51" s="22">
        <v>2850</v>
      </c>
      <c r="N51" s="22">
        <v>951</v>
      </c>
      <c r="O51" s="22">
        <v>17.3</v>
      </c>
      <c r="P51" s="22">
        <v>10.1</v>
      </c>
    </row>
    <row r="52" spans="3:16" ht="22.5">
      <c r="C52" s="22">
        <v>48</v>
      </c>
      <c r="D52" s="110" t="str">
        <f t="shared" si="0"/>
        <v>H- 400*400 mm.(168 kg./m.)</v>
      </c>
      <c r="E52" s="22">
        <v>400</v>
      </c>
      <c r="F52" s="22">
        <v>400</v>
      </c>
      <c r="G52" s="22">
        <v>18</v>
      </c>
      <c r="H52" s="22">
        <v>18</v>
      </c>
      <c r="I52" s="22">
        <v>168</v>
      </c>
      <c r="J52" s="22">
        <v>214.4</v>
      </c>
      <c r="K52" s="22">
        <v>59700</v>
      </c>
      <c r="L52" s="22">
        <v>20000</v>
      </c>
      <c r="M52" s="22">
        <v>3030</v>
      </c>
      <c r="N52" s="22">
        <v>985</v>
      </c>
      <c r="O52" s="22">
        <v>16.7</v>
      </c>
      <c r="P52" s="22">
        <v>9.65</v>
      </c>
    </row>
    <row r="53" spans="3:16" ht="22.5">
      <c r="C53" s="22">
        <v>49</v>
      </c>
      <c r="D53" s="110" t="str">
        <f t="shared" si="0"/>
        <v>H- 400*400 mm.(172 kg./m.)</v>
      </c>
      <c r="E53" s="22">
        <v>400</v>
      </c>
      <c r="F53" s="22">
        <v>400</v>
      </c>
      <c r="G53" s="22">
        <v>13</v>
      </c>
      <c r="H53" s="22">
        <v>21</v>
      </c>
      <c r="I53" s="22">
        <v>172</v>
      </c>
      <c r="J53" s="22">
        <v>218.7</v>
      </c>
      <c r="K53" s="22">
        <v>66600</v>
      </c>
      <c r="L53" s="22">
        <v>22400</v>
      </c>
      <c r="M53" s="22">
        <v>3330</v>
      </c>
      <c r="N53" s="22">
        <v>1120</v>
      </c>
      <c r="O53" s="22">
        <v>17.5</v>
      </c>
      <c r="P53" s="22">
        <v>10.1</v>
      </c>
    </row>
    <row r="54" spans="3:16" ht="22.5">
      <c r="C54" s="22">
        <v>50</v>
      </c>
      <c r="D54" s="110" t="str">
        <f t="shared" si="0"/>
        <v>H- 400*400 mm.(197 kg./m.)</v>
      </c>
      <c r="E54" s="22">
        <v>400</v>
      </c>
      <c r="F54" s="22">
        <v>400</v>
      </c>
      <c r="G54" s="22">
        <v>21</v>
      </c>
      <c r="H54" s="22">
        <v>21</v>
      </c>
      <c r="I54" s="22">
        <v>197</v>
      </c>
      <c r="J54" s="22">
        <v>250.7</v>
      </c>
      <c r="K54" s="22">
        <v>70900</v>
      </c>
      <c r="L54" s="22">
        <v>23800</v>
      </c>
      <c r="M54" s="22">
        <v>3540</v>
      </c>
      <c r="N54" s="22">
        <v>1170</v>
      </c>
      <c r="O54" s="22">
        <v>16.8</v>
      </c>
      <c r="P54" s="22">
        <v>9.75</v>
      </c>
    </row>
    <row r="55" spans="3:16" ht="22.5">
      <c r="C55" s="22">
        <v>51</v>
      </c>
      <c r="D55" s="110" t="str">
        <f t="shared" si="0"/>
        <v>H- 400*400 mm.(200 kg./m.)</v>
      </c>
      <c r="E55" s="22">
        <v>400</v>
      </c>
      <c r="F55" s="22">
        <v>400</v>
      </c>
      <c r="G55" s="22">
        <v>16</v>
      </c>
      <c r="H55" s="22">
        <v>24</v>
      </c>
      <c r="I55" s="22">
        <v>200</v>
      </c>
      <c r="J55" s="22">
        <v>254.9</v>
      </c>
      <c r="K55" s="22">
        <v>78000</v>
      </c>
      <c r="L55" s="22">
        <v>26200</v>
      </c>
      <c r="M55" s="22">
        <v>3840</v>
      </c>
      <c r="N55" s="22">
        <v>1300</v>
      </c>
      <c r="O55" s="22">
        <v>17.5</v>
      </c>
      <c r="P55" s="22">
        <v>10.1</v>
      </c>
    </row>
    <row r="56" spans="3:16" ht="22.5">
      <c r="C56" s="22">
        <v>52</v>
      </c>
      <c r="D56" s="110" t="str">
        <f t="shared" si="0"/>
        <v>H- 400*400 mm.(232 kg./m.)</v>
      </c>
      <c r="E56" s="22">
        <v>400</v>
      </c>
      <c r="F56" s="22">
        <v>400</v>
      </c>
      <c r="G56" s="22">
        <v>18</v>
      </c>
      <c r="H56" s="22">
        <v>28</v>
      </c>
      <c r="I56" s="22">
        <v>232</v>
      </c>
      <c r="J56" s="22">
        <v>295.4</v>
      </c>
      <c r="K56" s="22">
        <v>92800</v>
      </c>
      <c r="L56" s="22">
        <v>31000</v>
      </c>
      <c r="M56" s="22">
        <v>4480</v>
      </c>
      <c r="N56" s="22">
        <v>1530</v>
      </c>
      <c r="O56" s="22">
        <v>17.7</v>
      </c>
      <c r="P56" s="22">
        <v>10.2</v>
      </c>
    </row>
    <row r="57" spans="3:16" ht="22.5">
      <c r="C57" s="22">
        <v>53</v>
      </c>
      <c r="D57" s="110" t="str">
        <f t="shared" si="0"/>
        <v>H- 400*400 mm.(283 kg./m.)</v>
      </c>
      <c r="E57" s="22">
        <v>400</v>
      </c>
      <c r="F57" s="22">
        <v>400</v>
      </c>
      <c r="G57" s="22">
        <v>20</v>
      </c>
      <c r="H57" s="22">
        <v>35</v>
      </c>
      <c r="I57" s="22">
        <v>283</v>
      </c>
      <c r="J57" s="22">
        <v>360.7</v>
      </c>
      <c r="K57" s="22">
        <v>119000</v>
      </c>
      <c r="L57" s="22">
        <v>39400</v>
      </c>
      <c r="M57" s="22">
        <v>5570</v>
      </c>
      <c r="N57" s="22">
        <v>1930</v>
      </c>
      <c r="O57" s="22">
        <v>18.2</v>
      </c>
      <c r="P57" s="22">
        <v>10.4</v>
      </c>
    </row>
    <row r="58" spans="3:16" ht="22.5">
      <c r="C58" s="22">
        <v>54</v>
      </c>
      <c r="D58" s="110" t="str">
        <f t="shared" si="0"/>
        <v>H- 400*400 mm.(415 kg./m.)</v>
      </c>
      <c r="E58" s="22">
        <v>400</v>
      </c>
      <c r="F58" s="22">
        <v>400</v>
      </c>
      <c r="G58" s="22">
        <v>30</v>
      </c>
      <c r="H58" s="22">
        <v>50</v>
      </c>
      <c r="I58" s="22">
        <v>415</v>
      </c>
      <c r="J58" s="22">
        <v>528.6</v>
      </c>
      <c r="K58" s="22">
        <v>187000</v>
      </c>
      <c r="L58" s="22">
        <v>60500</v>
      </c>
      <c r="M58" s="22">
        <v>8170</v>
      </c>
      <c r="N58" s="22">
        <v>2900</v>
      </c>
      <c r="O58" s="22">
        <v>18.6</v>
      </c>
      <c r="P58" s="22">
        <v>10.7</v>
      </c>
    </row>
    <row r="59" spans="3:17" ht="22.5">
      <c r="C59" s="22">
        <v>55</v>
      </c>
      <c r="D59" s="110" t="str">
        <f t="shared" si="0"/>
        <v>H- 400*400 mm.(605 kg./m.)</v>
      </c>
      <c r="E59" s="22">
        <v>400</v>
      </c>
      <c r="F59" s="22">
        <v>400</v>
      </c>
      <c r="G59" s="22">
        <v>45</v>
      </c>
      <c r="H59" s="22">
        <v>70</v>
      </c>
      <c r="I59" s="22">
        <v>605</v>
      </c>
      <c r="J59" s="22">
        <v>770.1</v>
      </c>
      <c r="K59" s="22">
        <v>298000</v>
      </c>
      <c r="L59" s="22">
        <v>94400</v>
      </c>
      <c r="M59" s="22">
        <v>12000</v>
      </c>
      <c r="N59" s="22">
        <v>4370</v>
      </c>
      <c r="O59" s="22">
        <v>19.7</v>
      </c>
      <c r="P59" s="22">
        <v>11.1</v>
      </c>
      <c r="Q59" s="28"/>
    </row>
    <row r="60" spans="3:17" ht="22.5">
      <c r="C60" s="22">
        <v>56</v>
      </c>
      <c r="D60" s="110" t="str">
        <f t="shared" si="0"/>
        <v>H- 400*200 mm.(66.2 kg./m.)</v>
      </c>
      <c r="E60" s="22">
        <v>400</v>
      </c>
      <c r="F60" s="22">
        <v>200</v>
      </c>
      <c r="G60" s="22">
        <v>8</v>
      </c>
      <c r="H60" s="22">
        <v>12</v>
      </c>
      <c r="I60" s="22">
        <v>66.2</v>
      </c>
      <c r="J60" s="22">
        <v>84.3</v>
      </c>
      <c r="K60" s="22">
        <v>26700</v>
      </c>
      <c r="L60" s="22">
        <v>1580</v>
      </c>
      <c r="M60" s="22">
        <v>1290</v>
      </c>
      <c r="N60" s="22">
        <v>159</v>
      </c>
      <c r="O60" s="22">
        <v>18.5</v>
      </c>
      <c r="P60" s="22">
        <v>4.33</v>
      </c>
      <c r="Q60" s="28"/>
    </row>
    <row r="61" spans="3:17" ht="22.5">
      <c r="C61" s="22">
        <v>57</v>
      </c>
      <c r="D61" s="110" t="str">
        <f t="shared" si="0"/>
        <v>H- 450*200 mm.(76 kg./m.)</v>
      </c>
      <c r="E61" s="22">
        <v>450</v>
      </c>
      <c r="F61" s="22">
        <v>200</v>
      </c>
      <c r="G61" s="22">
        <v>9</v>
      </c>
      <c r="H61" s="22">
        <v>14</v>
      </c>
      <c r="I61" s="22">
        <v>76</v>
      </c>
      <c r="J61" s="22">
        <v>96.76</v>
      </c>
      <c r="K61" s="22">
        <v>33500</v>
      </c>
      <c r="L61" s="22">
        <v>1870</v>
      </c>
      <c r="M61" s="22">
        <v>1490</v>
      </c>
      <c r="N61" s="22">
        <v>187</v>
      </c>
      <c r="O61" s="22">
        <v>18.6</v>
      </c>
      <c r="P61" s="22">
        <v>4.4</v>
      </c>
      <c r="Q61" s="28"/>
    </row>
    <row r="62" spans="3:17" ht="22.5">
      <c r="C62" s="22">
        <v>58</v>
      </c>
      <c r="D62" s="110" t="str">
        <f t="shared" si="0"/>
        <v>H- 400*300 mm.(106 kg./m.)</v>
      </c>
      <c r="E62" s="22">
        <v>400</v>
      </c>
      <c r="F62" s="22">
        <v>300</v>
      </c>
      <c r="G62" s="22">
        <v>10</v>
      </c>
      <c r="H62" s="22">
        <v>15</v>
      </c>
      <c r="I62" s="22">
        <v>106</v>
      </c>
      <c r="J62" s="22">
        <v>135</v>
      </c>
      <c r="K62" s="22">
        <v>46800</v>
      </c>
      <c r="L62" s="22">
        <v>6690</v>
      </c>
      <c r="M62" s="22">
        <v>2160</v>
      </c>
      <c r="N62" s="22">
        <v>448</v>
      </c>
      <c r="O62" s="22">
        <v>18.6</v>
      </c>
      <c r="P62" s="22">
        <v>7.04</v>
      </c>
      <c r="Q62" s="28"/>
    </row>
    <row r="63" spans="3:17" ht="22.5">
      <c r="C63" s="22">
        <v>59</v>
      </c>
      <c r="D63" s="110" t="str">
        <f t="shared" si="0"/>
        <v>H- 450*300 mm.(124 kg./m.)</v>
      </c>
      <c r="E63" s="22">
        <v>450</v>
      </c>
      <c r="F63" s="22">
        <v>300</v>
      </c>
      <c r="G63" s="22">
        <v>11</v>
      </c>
      <c r="H63" s="22">
        <v>18</v>
      </c>
      <c r="I63" s="22">
        <v>124</v>
      </c>
      <c r="J63" s="22">
        <v>157.4</v>
      </c>
      <c r="K63" s="22">
        <v>56100</v>
      </c>
      <c r="L63" s="22">
        <v>8110</v>
      </c>
      <c r="M63" s="22">
        <v>2550</v>
      </c>
      <c r="N63" s="22">
        <v>541</v>
      </c>
      <c r="O63" s="22">
        <v>18.9</v>
      </c>
      <c r="P63" s="22">
        <v>7.18</v>
      </c>
      <c r="Q63" s="28"/>
    </row>
    <row r="64" spans="3:17" ht="22.5">
      <c r="C64" s="22">
        <v>60</v>
      </c>
      <c r="D64" s="110" t="str">
        <f t="shared" si="0"/>
        <v>H- 500*200 mm.(79.5 kg./m.)</v>
      </c>
      <c r="E64" s="22">
        <v>500</v>
      </c>
      <c r="F64" s="22">
        <v>200</v>
      </c>
      <c r="G64" s="22">
        <v>9</v>
      </c>
      <c r="H64" s="22">
        <v>14</v>
      </c>
      <c r="I64" s="22">
        <v>79.5</v>
      </c>
      <c r="J64" s="22">
        <v>101.3</v>
      </c>
      <c r="K64" s="22">
        <v>41900</v>
      </c>
      <c r="L64" s="22">
        <v>1840</v>
      </c>
      <c r="M64" s="22">
        <v>1690</v>
      </c>
      <c r="N64" s="22">
        <v>185</v>
      </c>
      <c r="O64" s="22">
        <v>20.3</v>
      </c>
      <c r="P64" s="22">
        <v>4.27</v>
      </c>
      <c r="Q64" s="28"/>
    </row>
    <row r="65" spans="3:17" ht="22.5">
      <c r="C65" s="22">
        <v>61</v>
      </c>
      <c r="D65" s="110" t="str">
        <f t="shared" si="0"/>
        <v>H- 500*200 mm.(89.6 kg./m.)</v>
      </c>
      <c r="E65" s="22">
        <v>500</v>
      </c>
      <c r="F65" s="22">
        <v>200</v>
      </c>
      <c r="G65" s="22">
        <v>10</v>
      </c>
      <c r="H65" s="22">
        <v>16</v>
      </c>
      <c r="I65" s="22">
        <v>89.6</v>
      </c>
      <c r="J65" s="22">
        <v>114.2</v>
      </c>
      <c r="K65" s="22">
        <v>47800</v>
      </c>
      <c r="L65" s="22">
        <v>2140</v>
      </c>
      <c r="M65" s="22">
        <v>1910</v>
      </c>
      <c r="N65" s="22">
        <v>214</v>
      </c>
      <c r="O65" s="22">
        <v>20.5</v>
      </c>
      <c r="P65" s="22">
        <v>4.33</v>
      </c>
      <c r="Q65" s="28"/>
    </row>
    <row r="66" spans="3:17" ht="22.5">
      <c r="C66" s="22">
        <v>62</v>
      </c>
      <c r="D66" s="110" t="str">
        <f t="shared" si="0"/>
        <v>H- 500*200 mm.(103 kg./m.)</v>
      </c>
      <c r="E66" s="22">
        <v>500</v>
      </c>
      <c r="F66" s="22">
        <v>200</v>
      </c>
      <c r="G66" s="22">
        <v>11</v>
      </c>
      <c r="H66" s="22">
        <v>19</v>
      </c>
      <c r="I66" s="22">
        <v>103</v>
      </c>
      <c r="J66" s="22">
        <v>131.3</v>
      </c>
      <c r="K66" s="22">
        <v>56500</v>
      </c>
      <c r="L66" s="22">
        <v>2580</v>
      </c>
      <c r="M66" s="22">
        <v>2230</v>
      </c>
      <c r="N66" s="22">
        <v>257</v>
      </c>
      <c r="O66" s="22">
        <v>20.7</v>
      </c>
      <c r="P66" s="22">
        <v>4.43</v>
      </c>
      <c r="Q66" s="28"/>
    </row>
    <row r="67" spans="3:17" ht="22.5">
      <c r="C67" s="22">
        <v>63</v>
      </c>
      <c r="D67" s="110" t="str">
        <f t="shared" si="0"/>
        <v>H- 500*300 mm.(114 kg./m.)</v>
      </c>
      <c r="E67" s="22">
        <v>500</v>
      </c>
      <c r="F67" s="22">
        <v>300</v>
      </c>
      <c r="G67" s="22">
        <v>11</v>
      </c>
      <c r="H67" s="22">
        <v>15</v>
      </c>
      <c r="I67" s="22">
        <v>114</v>
      </c>
      <c r="J67" s="22">
        <v>145.5</v>
      </c>
      <c r="K67" s="22">
        <v>60400</v>
      </c>
      <c r="L67" s="22">
        <v>6760</v>
      </c>
      <c r="M67" s="22">
        <v>2500</v>
      </c>
      <c r="N67" s="22">
        <v>451</v>
      </c>
      <c r="O67" s="22">
        <v>20.4</v>
      </c>
      <c r="P67" s="22">
        <v>6.82</v>
      </c>
      <c r="Q67" s="28"/>
    </row>
    <row r="68" spans="3:17" ht="22.5">
      <c r="C68" s="22">
        <v>64</v>
      </c>
      <c r="D68" s="110" t="str">
        <f t="shared" si="0"/>
        <v>H- 500*300 mm.(128 kg./m.)</v>
      </c>
      <c r="E68" s="22">
        <v>500</v>
      </c>
      <c r="F68" s="22">
        <v>300</v>
      </c>
      <c r="G68" s="22">
        <v>11</v>
      </c>
      <c r="H68" s="22">
        <v>18</v>
      </c>
      <c r="I68" s="22">
        <v>128</v>
      </c>
      <c r="J68" s="22">
        <v>163.5</v>
      </c>
      <c r="K68" s="22">
        <v>71000</v>
      </c>
      <c r="L68" s="22">
        <v>8110</v>
      </c>
      <c r="M68" s="22">
        <v>2910</v>
      </c>
      <c r="N68" s="22">
        <v>541</v>
      </c>
      <c r="O68" s="22">
        <v>20.8</v>
      </c>
      <c r="P68" s="22">
        <v>7.04</v>
      </c>
      <c r="Q68" s="28"/>
    </row>
    <row r="69" spans="3:17" ht="22.5">
      <c r="C69" s="22">
        <v>65</v>
      </c>
      <c r="D69" s="110" t="str">
        <f t="shared" si="0"/>
        <v>H- 600*200 mm.(94.6 kg./m.)</v>
      </c>
      <c r="E69" s="22">
        <v>600</v>
      </c>
      <c r="F69" s="22">
        <v>200</v>
      </c>
      <c r="G69" s="22">
        <v>10</v>
      </c>
      <c r="H69" s="22">
        <v>15</v>
      </c>
      <c r="I69" s="22">
        <v>94.6</v>
      </c>
      <c r="J69" s="22">
        <v>120.5</v>
      </c>
      <c r="K69" s="22">
        <v>68700</v>
      </c>
      <c r="L69" s="22">
        <v>1980</v>
      </c>
      <c r="M69" s="22">
        <v>2310</v>
      </c>
      <c r="N69" s="22">
        <v>199</v>
      </c>
      <c r="O69" s="22">
        <v>23.9</v>
      </c>
      <c r="P69" s="22">
        <v>4.05</v>
      </c>
      <c r="Q69" s="28"/>
    </row>
    <row r="70" spans="3:17" ht="22.5">
      <c r="C70" s="22">
        <v>66</v>
      </c>
      <c r="D70" s="110" t="str">
        <f aca="true" t="shared" si="1" ref="D70:D84">"H- "&amp;E70&amp;"*"&amp;F70&amp;" mm.("&amp;I70&amp;" kg./m.)"</f>
        <v>H- 600*200 mm.(106 kg./m.)</v>
      </c>
      <c r="E70" s="22">
        <v>600</v>
      </c>
      <c r="F70" s="22">
        <v>200</v>
      </c>
      <c r="G70" s="22">
        <v>11</v>
      </c>
      <c r="H70" s="22">
        <v>17</v>
      </c>
      <c r="I70" s="22">
        <v>106</v>
      </c>
      <c r="J70" s="22">
        <v>134.4</v>
      </c>
      <c r="K70" s="22">
        <v>77600</v>
      </c>
      <c r="L70" s="22">
        <v>2280</v>
      </c>
      <c r="M70" s="22">
        <v>2590</v>
      </c>
      <c r="N70" s="22">
        <v>228</v>
      </c>
      <c r="O70" s="22">
        <v>24</v>
      </c>
      <c r="P70" s="22">
        <v>4.12</v>
      </c>
      <c r="Q70" s="28"/>
    </row>
    <row r="71" spans="3:17" ht="22.5">
      <c r="C71" s="22">
        <v>67</v>
      </c>
      <c r="D71" s="110" t="str">
        <f t="shared" si="1"/>
        <v>H- 600*200 mm.(120 kg./m.)</v>
      </c>
      <c r="E71" s="22">
        <v>600</v>
      </c>
      <c r="F71" s="22">
        <v>200</v>
      </c>
      <c r="G71" s="22">
        <v>12</v>
      </c>
      <c r="H71" s="22">
        <v>20</v>
      </c>
      <c r="I71" s="22">
        <v>120</v>
      </c>
      <c r="J71" s="22">
        <v>152.5</v>
      </c>
      <c r="K71" s="22">
        <v>90400</v>
      </c>
      <c r="L71" s="22">
        <v>2720</v>
      </c>
      <c r="M71" s="22">
        <v>2980</v>
      </c>
      <c r="N71" s="22">
        <v>271</v>
      </c>
      <c r="O71" s="22">
        <v>24.3</v>
      </c>
      <c r="P71" s="22">
        <v>4.22</v>
      </c>
      <c r="Q71" s="28"/>
    </row>
    <row r="72" spans="3:17" ht="22.5">
      <c r="C72" s="22">
        <v>68</v>
      </c>
      <c r="D72" s="110" t="str">
        <f t="shared" si="1"/>
        <v>H- 600*200 mm.(134 kg./m.)</v>
      </c>
      <c r="E72" s="22">
        <v>600</v>
      </c>
      <c r="F72" s="22">
        <v>200</v>
      </c>
      <c r="G72" s="22">
        <v>13</v>
      </c>
      <c r="H72" s="22">
        <v>23</v>
      </c>
      <c r="I72" s="22">
        <v>134</v>
      </c>
      <c r="J72" s="22">
        <v>107.7</v>
      </c>
      <c r="K72" s="22">
        <v>103000</v>
      </c>
      <c r="L72" s="22">
        <v>3180</v>
      </c>
      <c r="M72" s="22">
        <v>3380</v>
      </c>
      <c r="N72" s="22">
        <v>314</v>
      </c>
      <c r="O72" s="22">
        <v>24.6</v>
      </c>
      <c r="P72" s="22">
        <v>4.31</v>
      </c>
      <c r="Q72" s="28"/>
    </row>
    <row r="73" spans="3:17" ht="22.5">
      <c r="C73" s="22">
        <v>69</v>
      </c>
      <c r="D73" s="110" t="str">
        <f t="shared" si="1"/>
        <v>H- 600*300 mm.(137 kg./m.)</v>
      </c>
      <c r="E73" s="22">
        <v>600</v>
      </c>
      <c r="F73" s="22">
        <v>300</v>
      </c>
      <c r="G73" s="22">
        <v>12</v>
      </c>
      <c r="H73" s="22">
        <v>17</v>
      </c>
      <c r="I73" s="22">
        <v>137</v>
      </c>
      <c r="J73" s="22">
        <v>174.5</v>
      </c>
      <c r="K73" s="22">
        <v>103000</v>
      </c>
      <c r="L73" s="22">
        <v>7670</v>
      </c>
      <c r="M73" s="22">
        <v>3530</v>
      </c>
      <c r="N73" s="22">
        <v>511</v>
      </c>
      <c r="O73" s="22">
        <v>24.3</v>
      </c>
      <c r="P73" s="22">
        <v>6.63</v>
      </c>
      <c r="Q73" s="28"/>
    </row>
    <row r="74" spans="3:17" ht="22.5">
      <c r="C74" s="22">
        <v>70</v>
      </c>
      <c r="D74" s="110" t="str">
        <f t="shared" si="1"/>
        <v>H- 600*300 mm.(151 kg./m.)</v>
      </c>
      <c r="E74" s="22">
        <v>600</v>
      </c>
      <c r="F74" s="22">
        <v>300</v>
      </c>
      <c r="G74" s="22">
        <v>12</v>
      </c>
      <c r="H74" s="22">
        <v>20</v>
      </c>
      <c r="I74" s="22">
        <v>151</v>
      </c>
      <c r="J74" s="22">
        <v>192.5</v>
      </c>
      <c r="K74" s="22">
        <v>118000</v>
      </c>
      <c r="L74" s="22">
        <v>9020</v>
      </c>
      <c r="M74" s="22">
        <v>4020</v>
      </c>
      <c r="N74" s="22">
        <v>601</v>
      </c>
      <c r="O74" s="22">
        <v>24.8</v>
      </c>
      <c r="P74" s="22">
        <v>6.85</v>
      </c>
      <c r="Q74" s="28"/>
    </row>
    <row r="75" spans="3:17" ht="22.5">
      <c r="C75" s="22">
        <v>71</v>
      </c>
      <c r="D75" s="110" t="str">
        <f t="shared" si="1"/>
        <v>H- 600*300 mm.(175 kg./m.)</v>
      </c>
      <c r="E75" s="22">
        <v>600</v>
      </c>
      <c r="F75" s="22">
        <v>300</v>
      </c>
      <c r="G75" s="22">
        <v>14</v>
      </c>
      <c r="H75" s="22">
        <v>23</v>
      </c>
      <c r="I75" s="22">
        <v>175</v>
      </c>
      <c r="J75" s="22">
        <v>222.4</v>
      </c>
      <c r="K75" s="22">
        <v>137000</v>
      </c>
      <c r="L75" s="22">
        <v>10600</v>
      </c>
      <c r="M75" s="22">
        <v>4620</v>
      </c>
      <c r="N75" s="22">
        <v>701</v>
      </c>
      <c r="O75" s="22">
        <v>24.9</v>
      </c>
      <c r="P75" s="22">
        <v>6.9</v>
      </c>
      <c r="Q75" s="28"/>
    </row>
    <row r="76" spans="3:17" ht="22.5">
      <c r="C76" s="22">
        <v>72</v>
      </c>
      <c r="D76" s="110" t="str">
        <f t="shared" si="1"/>
        <v>H- 692*300 mm.(166 kg./m.)</v>
      </c>
      <c r="E76" s="22">
        <v>692</v>
      </c>
      <c r="F76" s="22">
        <v>300</v>
      </c>
      <c r="G76" s="22">
        <v>13</v>
      </c>
      <c r="H76" s="22">
        <v>20</v>
      </c>
      <c r="I76" s="22">
        <v>166</v>
      </c>
      <c r="J76" s="22">
        <v>211.5</v>
      </c>
      <c r="K76" s="22">
        <v>172000</v>
      </c>
      <c r="L76" s="22">
        <v>9020</v>
      </c>
      <c r="M76" s="22">
        <v>4980</v>
      </c>
      <c r="N76" s="22">
        <v>602</v>
      </c>
      <c r="O76" s="22">
        <v>28.6</v>
      </c>
      <c r="P76" s="22">
        <v>6.53</v>
      </c>
      <c r="Q76" s="28"/>
    </row>
    <row r="77" spans="3:17" ht="22.5">
      <c r="C77" s="22">
        <v>73</v>
      </c>
      <c r="D77" s="110" t="str">
        <f t="shared" si="1"/>
        <v>H- 700*300 mm.(185 kg./m.)</v>
      </c>
      <c r="E77" s="22">
        <v>700</v>
      </c>
      <c r="F77" s="22">
        <v>300</v>
      </c>
      <c r="G77" s="22">
        <v>13</v>
      </c>
      <c r="H77" s="22">
        <v>24</v>
      </c>
      <c r="I77" s="22">
        <v>185</v>
      </c>
      <c r="J77" s="22">
        <v>235.5</v>
      </c>
      <c r="K77" s="22">
        <v>201000</v>
      </c>
      <c r="L77" s="22">
        <v>10800</v>
      </c>
      <c r="M77" s="22">
        <v>5760</v>
      </c>
      <c r="N77" s="22">
        <v>722</v>
      </c>
      <c r="O77" s="22">
        <v>29.3</v>
      </c>
      <c r="P77" s="22">
        <v>6.78</v>
      </c>
      <c r="Q77" s="28"/>
    </row>
    <row r="78" spans="3:17" ht="22.5">
      <c r="C78" s="22">
        <v>74</v>
      </c>
      <c r="D78" s="110" t="str">
        <f t="shared" si="1"/>
        <v>H- 708*302 mm.(215 kg./m.)</v>
      </c>
      <c r="E78" s="22">
        <v>708</v>
      </c>
      <c r="F78" s="22">
        <v>302</v>
      </c>
      <c r="G78" s="22">
        <v>15</v>
      </c>
      <c r="H78" s="22">
        <v>28</v>
      </c>
      <c r="I78" s="22">
        <v>215</v>
      </c>
      <c r="J78" s="22">
        <v>273.6</v>
      </c>
      <c r="K78" s="22">
        <v>237000</v>
      </c>
      <c r="L78" s="22">
        <v>12900</v>
      </c>
      <c r="M78" s="22">
        <v>6700</v>
      </c>
      <c r="N78" s="22">
        <v>653</v>
      </c>
      <c r="O78" s="22">
        <v>29.4</v>
      </c>
      <c r="P78" s="22">
        <v>6.86</v>
      </c>
      <c r="Q78" s="28"/>
    </row>
    <row r="79" spans="3:17" ht="22.5">
      <c r="C79" s="22">
        <v>75</v>
      </c>
      <c r="D79" s="110" t="str">
        <f t="shared" si="1"/>
        <v>H- 792*300 mm.(191 kg./m.)</v>
      </c>
      <c r="E79" s="22">
        <v>792</v>
      </c>
      <c r="F79" s="22">
        <v>300</v>
      </c>
      <c r="G79" s="22">
        <v>14</v>
      </c>
      <c r="H79" s="22">
        <v>22</v>
      </c>
      <c r="I79" s="22">
        <v>191</v>
      </c>
      <c r="J79" s="22">
        <v>243.4</v>
      </c>
      <c r="K79" s="22">
        <v>254000</v>
      </c>
      <c r="L79" s="22">
        <v>9930</v>
      </c>
      <c r="M79" s="22">
        <v>6410</v>
      </c>
      <c r="N79" s="22">
        <v>662</v>
      </c>
      <c r="O79" s="22">
        <v>32.3</v>
      </c>
      <c r="P79" s="22">
        <v>6.39</v>
      </c>
      <c r="Q79" s="28"/>
    </row>
    <row r="80" spans="3:17" ht="22.5">
      <c r="C80" s="22">
        <v>76</v>
      </c>
      <c r="D80" s="110" t="str">
        <f t="shared" si="1"/>
        <v>H- 800*300 mm.(210 kg./m.)</v>
      </c>
      <c r="E80" s="22">
        <v>800</v>
      </c>
      <c r="F80" s="22">
        <v>300</v>
      </c>
      <c r="G80" s="22">
        <v>14</v>
      </c>
      <c r="H80" s="22">
        <v>26</v>
      </c>
      <c r="I80" s="22">
        <v>210</v>
      </c>
      <c r="J80" s="22">
        <v>267.4</v>
      </c>
      <c r="K80" s="22">
        <v>292000</v>
      </c>
      <c r="L80" s="22">
        <v>11700</v>
      </c>
      <c r="M80" s="22">
        <v>7290</v>
      </c>
      <c r="N80" s="22">
        <v>782</v>
      </c>
      <c r="O80" s="22">
        <v>33</v>
      </c>
      <c r="P80" s="22">
        <v>6.62</v>
      </c>
      <c r="Q80" s="28"/>
    </row>
    <row r="81" spans="3:17" ht="22.5">
      <c r="C81" s="22">
        <v>77</v>
      </c>
      <c r="D81" s="110" t="str">
        <f t="shared" si="1"/>
        <v>H- 808*302 mm.(241 kg./m.)</v>
      </c>
      <c r="E81" s="22">
        <v>808</v>
      </c>
      <c r="F81" s="22">
        <v>302</v>
      </c>
      <c r="G81" s="22">
        <v>16</v>
      </c>
      <c r="H81" s="22">
        <v>30</v>
      </c>
      <c r="I81" s="22">
        <v>241</v>
      </c>
      <c r="J81" s="22">
        <v>307.6</v>
      </c>
      <c r="K81" s="22">
        <v>339000</v>
      </c>
      <c r="L81" s="22">
        <v>13800</v>
      </c>
      <c r="M81" s="22">
        <v>8400</v>
      </c>
      <c r="N81" s="22">
        <v>915</v>
      </c>
      <c r="O81" s="22">
        <v>33.2</v>
      </c>
      <c r="P81" s="22">
        <v>6.7</v>
      </c>
      <c r="Q81" s="28"/>
    </row>
    <row r="82" spans="3:17" ht="22.5">
      <c r="C82" s="22">
        <v>78</v>
      </c>
      <c r="D82" s="110" t="str">
        <f t="shared" si="1"/>
        <v>H- 890*299 mm.(213 kg./m.)</v>
      </c>
      <c r="E82" s="22">
        <v>890</v>
      </c>
      <c r="F82" s="22">
        <v>299</v>
      </c>
      <c r="G82" s="22">
        <v>15</v>
      </c>
      <c r="H82" s="22">
        <v>23</v>
      </c>
      <c r="I82" s="22">
        <v>213</v>
      </c>
      <c r="J82" s="22">
        <v>270.9</v>
      </c>
      <c r="K82" s="22">
        <v>345000</v>
      </c>
      <c r="L82" s="22">
        <v>10300</v>
      </c>
      <c r="M82" s="22">
        <v>7760</v>
      </c>
      <c r="N82" s="22">
        <v>688</v>
      </c>
      <c r="O82" s="22">
        <v>35.7</v>
      </c>
      <c r="P82" s="22">
        <v>6.16</v>
      </c>
      <c r="Q82" s="28"/>
    </row>
    <row r="83" spans="3:17" ht="22.5">
      <c r="C83" s="22">
        <v>79</v>
      </c>
      <c r="D83" s="110" t="str">
        <f t="shared" si="1"/>
        <v>H- 900*300 mm.(243 kg./m.)</v>
      </c>
      <c r="E83" s="22">
        <v>900</v>
      </c>
      <c r="F83" s="22">
        <v>300</v>
      </c>
      <c r="G83" s="22">
        <v>16</v>
      </c>
      <c r="H83" s="22">
        <v>28</v>
      </c>
      <c r="I83" s="22">
        <v>243</v>
      </c>
      <c r="J83" s="22">
        <v>390.8</v>
      </c>
      <c r="K83" s="22">
        <v>411000</v>
      </c>
      <c r="L83" s="22">
        <v>12600</v>
      </c>
      <c r="M83" s="22">
        <v>9140</v>
      </c>
      <c r="N83" s="22">
        <v>843</v>
      </c>
      <c r="O83" s="22">
        <v>36.4</v>
      </c>
      <c r="P83" s="22">
        <v>6.39</v>
      </c>
      <c r="Q83" s="28"/>
    </row>
    <row r="84" spans="3:17" ht="22.5">
      <c r="C84" s="25">
        <v>80</v>
      </c>
      <c r="D84" s="110" t="str">
        <f t="shared" si="1"/>
        <v>H- 912*302 mm.(286 kg./m.)</v>
      </c>
      <c r="E84" s="25">
        <v>912</v>
      </c>
      <c r="F84" s="25">
        <v>302</v>
      </c>
      <c r="G84" s="25">
        <v>18</v>
      </c>
      <c r="H84" s="25">
        <v>34</v>
      </c>
      <c r="I84" s="25">
        <v>286</v>
      </c>
      <c r="J84" s="25">
        <v>364</v>
      </c>
      <c r="K84" s="25">
        <v>498000</v>
      </c>
      <c r="L84" s="25">
        <v>15700</v>
      </c>
      <c r="M84" s="25">
        <v>10900</v>
      </c>
      <c r="N84" s="25">
        <v>1040</v>
      </c>
      <c r="O84" s="25">
        <v>37</v>
      </c>
      <c r="P84" s="25">
        <v>6.56</v>
      </c>
      <c r="Q84" s="28"/>
    </row>
  </sheetData>
  <sheetProtection/>
  <mergeCells count="8">
    <mergeCell ref="C2:P2"/>
    <mergeCell ref="C3:C4"/>
    <mergeCell ref="X4:Z4"/>
    <mergeCell ref="X5:Z5"/>
    <mergeCell ref="W7:X7"/>
    <mergeCell ref="W9:X9"/>
    <mergeCell ref="W8:X8"/>
    <mergeCell ref="W6:X6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Pom</cp:lastModifiedBy>
  <cp:lastPrinted>2020-06-30T05:01:30Z</cp:lastPrinted>
  <dcterms:created xsi:type="dcterms:W3CDTF">2003-02-02T11:14:49Z</dcterms:created>
  <dcterms:modified xsi:type="dcterms:W3CDTF">2020-06-30T05:04:22Z</dcterms:modified>
  <cp:category/>
  <cp:version/>
  <cp:contentType/>
  <cp:contentStatus/>
</cp:coreProperties>
</file>